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arandiaa\Desktop\"/>
    </mc:Choice>
  </mc:AlternateContent>
  <xr:revisionPtr revIDLastSave="0" documentId="8_{A35F4D7F-A441-498C-BC1E-5CADB6CF03D2}" xr6:coauthVersionLast="47" xr6:coauthVersionMax="47" xr10:uidLastSave="{00000000-0000-0000-0000-000000000000}"/>
  <bookViews>
    <workbookView xWindow="-120" yWindow="-120" windowWidth="20730" windowHeight="11160" tabRatio="777" activeTab="7" xr2:uid="{00000000-000D-0000-FFFF-FFFF00000000}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Base a pegar" sheetId="1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2" l="1"/>
  <c r="A3" i="12"/>
  <c r="A18" i="12" s="1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E15" i="12"/>
  <c r="D15" i="12"/>
  <c r="C15" i="12"/>
  <c r="F14" i="12"/>
  <c r="E14" i="12"/>
  <c r="C14" i="12"/>
  <c r="F13" i="12"/>
  <c r="E13" i="12"/>
  <c r="D13" i="12"/>
  <c r="C1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13" i="12" l="1"/>
  <c r="A17" i="12"/>
  <c r="A15" i="12"/>
  <c r="A14" i="12"/>
  <c r="A16" i="12"/>
  <c r="C12" i="5" l="1"/>
  <c r="V3" i="7"/>
  <c r="G14" i="1" l="1"/>
  <c r="G15" i="12" s="1"/>
  <c r="G13" i="1"/>
  <c r="G14" i="12" s="1"/>
  <c r="G15" i="1"/>
  <c r="G16" i="12" s="1"/>
  <c r="G16" i="1"/>
  <c r="G17" i="12" s="1"/>
  <c r="G17" i="1"/>
  <c r="G18" i="12" s="1"/>
  <c r="G12" i="1"/>
  <c r="G13" i="12" s="1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F19" i="5"/>
  <c r="F18" i="5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Pablo Garzón Peraza</author>
  </authors>
  <commentList>
    <comment ref="C2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<sst xmlns="http://schemas.openxmlformats.org/spreadsheetml/2006/main" count="274" uniqueCount="196">
  <si>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</si>
  <si>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</si>
  <si>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</si>
  <si>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</si>
  <si>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</si>
  <si>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</si>
  <si>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</si>
  <si>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</si>
  <si>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</si>
  <si>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</si>
  <si>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</si>
  <si>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</si>
  <si>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</si>
  <si>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</si>
  <si>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</si>
  <si>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</si>
  <si>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</si>
  <si>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</si>
  <si>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</si>
  <si>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</si>
  <si>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</si>
  <si>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</si>
  <si>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</si>
  <si>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</si>
  <si>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</si>
  <si>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</si>
  <si>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</si>
  <si>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</si>
  <si>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</si>
  <si>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</si>
  <si>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</si>
  <si>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</si>
  <si>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</si>
  <si>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</si>
  <si>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</si>
  <si>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</si>
  <si>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</si>
  <si>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</si>
  <si>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</si>
  <si>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</si>
  <si>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</si>
  <si>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</si>
  <si>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</si>
  <si>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</si>
  <si>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</si>
  <si>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</si>
  <si>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</si>
  <si>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</si>
  <si>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</si>
  <si>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</si>
  <si>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</si>
  <si>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</si>
  <si>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</si>
  <si>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</si>
  <si>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</si>
  <si>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</si>
  <si>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</si>
  <si>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</si>
  <si>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</si>
  <si>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</si>
  <si>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</si>
  <si>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</si>
  <si>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</si>
  <si>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</si>
  <si>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</si>
  <si>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</si>
  <si>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</si>
  <si>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</si>
  <si>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</si>
  <si>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</si>
  <si>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</si>
  <si>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</si>
  <si>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</si>
  <si>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</si>
  <si>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</si>
  <si>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Provisión incorrecta</t>
  </si>
  <si>
    <t>JUDICIALES</t>
  </si>
  <si>
    <t>PREJUDICIALES</t>
  </si>
  <si>
    <t>Plantilla de certificado de Control Interno eKOGUI</t>
  </si>
  <si>
    <t>ACTUALIZADO</t>
  </si>
  <si>
    <t>Entre 21-03-2019 y 31-12-2019</t>
  </si>
  <si>
    <t>PROCESOS SIN ABOGADO ASIGNADO(1)</t>
  </si>
  <si>
    <t>PROCESOS ACTIVOS CON ESTADO TERMINADO(3)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</si>
  <si>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</si>
  <si>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</si>
  <si>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</si>
  <si>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</si>
  <si>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</si>
  <si>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</si>
  <si>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</si>
  <si>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</si>
  <si>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</si>
  <si>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</si>
  <si>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</si>
  <si>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</si>
  <si>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</si>
  <si>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</si>
  <si>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</si>
  <si>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</si>
  <si>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</si>
  <si>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</si>
  <si>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</si>
  <si>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</si>
  <si>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</si>
  <si>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</si>
  <si>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</si>
  <si>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</si>
  <si>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</si>
  <si>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</si>
  <si>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USUARIOS ACTIVOS</t>
  </si>
  <si>
    <t>Posteriores al 01-01-2020</t>
  </si>
  <si>
    <t>Fecha de diligenciamiento de plantilla</t>
  </si>
  <si>
    <t>NOMBRE JEFE CONTROL INTERNO</t>
  </si>
  <si>
    <t>(2) Con fecha de actuación en 2021</t>
  </si>
  <si>
    <t>TIENE INFORMACIÓN ESTUDIOS</t>
  </si>
  <si>
    <t>TIENEN INFORMACIÓN EXPERIENCIA</t>
  </si>
  <si>
    <t>TIENEN INFORMACIÓN LABORAL</t>
  </si>
  <si>
    <t>POSTERIORES AL 01-01-2020</t>
  </si>
  <si>
    <t>ENTRE 21-03-2019 Y 31-12-2019</t>
  </si>
  <si>
    <t>CAPACITACIONES ANTERIORES AL 21-03-2019</t>
  </si>
  <si>
    <t>SIN CAPACITACIÓN</t>
  </si>
  <si>
    <t>PROCESOS TERMINADOS PERIODO</t>
  </si>
  <si>
    <t>TERMINADOS PERIODO EN EKOGUI</t>
  </si>
  <si>
    <t>PROCESOS ACTIVOS CON ESTADO TERMINADO</t>
  </si>
  <si>
    <t>CANTIDAD DE PROCESOS DE MÁS DE 33.000 SMMLV</t>
  </si>
  <si>
    <t>PROCESOS DE MÁS DE 33.000 SMMLV REGISTRADOS EN EKOGUI</t>
  </si>
  <si>
    <t xml:space="preserve">PROCESOS DE MÁS DE 33.000 SMMLV CON LA PIEZA DEMANDA </t>
  </si>
  <si>
    <t>PROBABILIDAD DE PERDER EL CASO ALTA - PROCESOS</t>
  </si>
  <si>
    <t>PROBABILIDAD DE PERDER EL CASO MEDIA - PROCESOS</t>
  </si>
  <si>
    <t>PROBABILIDAD DE PERDER EL CASO BAJA - PROCESOS</t>
  </si>
  <si>
    <t>PROBABILIDAD DE PERDER EL CASO REMOTA - PROCESOS</t>
  </si>
  <si>
    <t>PROBABILIDAD DE PERDER EL CASO ALTA - PROVISION 0</t>
  </si>
  <si>
    <t>PROBABILIDAD DE PERDER EL CASO MEDIA - PROVISION 0</t>
  </si>
  <si>
    <t>PROBABILIDAD DE PERDER EL CASO BAJA - PROVISION 0</t>
  </si>
  <si>
    <t>PROBABILIDAD DE PERDER EL CASO REMOTA - PROVISION 0</t>
  </si>
  <si>
    <t>TOTAL ARBITRAMENTOS TERMINADOS CORTE</t>
  </si>
  <si>
    <t>GESTIONA PAGOS EN SIIF DE MINHACIENDA</t>
  </si>
  <si>
    <t>PAGOS ENLAZADOS</t>
  </si>
  <si>
    <t>FECHA REPORTE USUARIOS</t>
  </si>
  <si>
    <t>FECHA REPORTE ABOGADOS</t>
  </si>
  <si>
    <t>FECHA REPORTE JUDICIALES</t>
  </si>
  <si>
    <t>OBS1</t>
  </si>
  <si>
    <t>OBS2</t>
  </si>
  <si>
    <t>OBS3</t>
  </si>
  <si>
    <t>OBS4</t>
  </si>
  <si>
    <t>OBS5</t>
  </si>
  <si>
    <t>OBS6</t>
  </si>
  <si>
    <t>OBS7</t>
  </si>
  <si>
    <t>Favor Diligenciar los Campos Resaltados</t>
  </si>
  <si>
    <t>Abogados al 31 de diciembre de 2021</t>
  </si>
  <si>
    <t>ABOGADOS ACTIVOS AL 31-12-2021</t>
  </si>
  <si>
    <t>PROCESOS ACTIVOS AL 31 DE DICIEMBRE DE 2021</t>
  </si>
  <si>
    <t>(1) Con fecha de registro anterior al 15-12-2021</t>
  </si>
  <si>
    <t>PROCESOS TERMINADOS SEGUNDO SEMESTRE 2021</t>
  </si>
  <si>
    <t>PROCESOS TERMINADOS DURANTE SEGUNDO SEMESTRE 2021</t>
  </si>
  <si>
    <t>TERMINADOS EN EKOGUI DURANTE SEGUNDO SEMESTRE 2021 (2)</t>
  </si>
  <si>
    <t>PROCESO TERMINADOS AL 31 DE DICIEMBRE 2021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</si>
  <si>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</si>
  <si>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(4)Equivalente a un valor indexado de $29.981 millones a 31 de diciembre de 2021</t>
  </si>
  <si>
    <t>PROCESOS ACTIVOS EN CALIDAD DEMANDADO AL 31-12-2021</t>
  </si>
  <si>
    <t>PROCESOS CON CALIFICACIÓN SEGUNDO SEMESTRE 2021</t>
  </si>
  <si>
    <t>PROCESOS CON CALIFICACIÓN ANTERIOR A 30-06-2021</t>
  </si>
  <si>
    <t>(6) Solo se consideran los procesos activos - calidad demandado al 31 de DICIEMBRE de 2021 que tengan calificación de riesgo</t>
  </si>
  <si>
    <t># PROCESOS</t>
  </si>
  <si>
    <t>REGISTRO POSTERIOR AL 01/07/2021</t>
  </si>
  <si>
    <t>REGISTRO EN 2020 Y ANTERIORES</t>
  </si>
  <si>
    <t>TOTAL PREJUDICIALES TERMINADOS II SEM. 2021</t>
  </si>
  <si>
    <t>TERMINADOS ÚLTIMA ACTUACIÓN II SEM. 2021</t>
  </si>
  <si>
    <t>ARBITRAMENTOS ACTIVOS AL 31-12-2021</t>
  </si>
  <si>
    <t>TOTAL ARBITRAMENTOS TERMINADOS  AL 31-12-2021</t>
  </si>
  <si>
    <t>NOMBRE ENTIDAD</t>
  </si>
  <si>
    <t>NOMBRE Y APELLIDO JEFE CONTROL INTERNO</t>
  </si>
  <si>
    <t>Favor Diligenciar los Campos Resaltados y Revisar la Información Incompleta Antes de Remitir a la ANDJE</t>
  </si>
  <si>
    <t>Pagos enlazados al 31-12-2021</t>
  </si>
  <si>
    <t>Favor Diligenciar los campos Resaltados</t>
  </si>
  <si>
    <t>RETIRADOS EN LA ENTIDAD SEGUNDO SEMESTRE 2021</t>
  </si>
  <si>
    <t>INACTIVADOS EN EKOGUI SEGUNDO SEMESTRE 2021</t>
  </si>
  <si>
    <t>Conciliaciones Prejudiciales</t>
  </si>
  <si>
    <t>PREJUDICIALES ACTIVAS AL 31-12-2021</t>
  </si>
  <si>
    <t>PREJUDICIALES TERMINADAS SEGUNDO SEMESTRE 2021</t>
  </si>
  <si>
    <t>Procesos que se encuentran terminados</t>
  </si>
  <si>
    <t>REGISTRO ENTRE 1 DE ENERO Y 30 DE JUNIO 2021</t>
  </si>
  <si>
    <t>MARLON SIMON ORTEGA ORDOSGOITIA</t>
  </si>
  <si>
    <t>MELISSA TRIANA  LUNA</t>
  </si>
  <si>
    <t>VICTOR MANUAL MOTTA PEÑA</t>
  </si>
  <si>
    <t>NORMA CONSTANZA GARCIA RAMIREZ</t>
  </si>
  <si>
    <t>si</t>
  </si>
  <si>
    <t>INSTITUTO NACIONAL DE VIGILANCIA DE MEDICAMENTOS Y ALIMENTOS -INVIMA</t>
  </si>
  <si>
    <t>NORMA CONSTANZA GARCÍA RAMIREZ</t>
  </si>
  <si>
    <t>Revisada la muestra se evidenció que de los 10 abogados que aparecen en ekogui como activos, dos  (LAURA MARIA CLAVIJO FUENTES Y JAVIER CABALLERO BORDA), al revisar la información en el apliactivo ekogui, no se encuentran diligenciadas  las casillas que corresponden a la informción de los estudios y de la experiencia.</t>
  </si>
  <si>
    <t xml:space="preserve">En el cuadro denominado CONDENAS, se diligencia con cero (0)  la última fila denomindada PROCESOS CON VALOR CONDENA MAYOR A CERO, porque al revisar la información descargada del aplicativo ekogui, no se señala ningún valor.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</si>
  <si>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Frente al proceso ID 1460825, el Coordinador de Procesos de la Entidad informa que no llego citación a la Entidad, que se trata de una Reparación Directa en contra de la Fiscalia General de la Nación, promovida por  VARGAS CAICEDO JULIAN ANDRES Y PARRA JUAN CAMILO. </t>
  </si>
  <si>
    <t xml:space="preserve">A la fecha no se reporta arbitramentos en los cuales la entidad este vinculada. </t>
  </si>
  <si>
    <t>Revisado en el Sistema ekogui, 15-03-2022, al solicitar la generación del Informe señala que "No se encontró información", no genera reporte.</t>
  </si>
  <si>
    <t xml:space="preserve">La información reportada corresponde a la revisión efectuada a través del sistema Ekogui, y la requerida a la Oficina Asesora Jurídica, que soporta la Información revisada.  </t>
  </si>
  <si>
    <t xml:space="preserve">Se encuentra inactivo el rol del Administrador de la Entidad en el apliactivo ekogui, desde el 23 de febrero de 2022 y no ha sido activado a la fecha.  La persona que se encuentra en el sistema como Jefe Jurídico y Secretarío Técnico, en la actualidad no se desempeña en la Entidad.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</si>
</sst>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11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/>
    <xf numFmtId="0" fontId="5" fillId="3" borderId="0" xfId="0" applyFont="1" applyFill="1"/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0" fontId="6" fillId="0" borderId="0" xfId="0" applyFont="1"/>
    <xf numFmtId="0" fontId="6" fillId="0" borderId="5" xfId="0" applyFont="1" applyBorder="1"/>
    <xf numFmtId="14" fontId="0" fillId="2" borderId="0" xfId="0" applyNumberFormat="1" applyFill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/>
    <xf numFmtId="0" fontId="4" fillId="0" borderId="0" xfId="0" applyFont="1"/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5" fillId="2" borderId="5" xfId="0" applyNumberFormat="1" applyFont="1" applyFill="1" applyBorder="1"/>
    <xf numFmtId="0" fontId="0" fillId="2" borderId="13" xfId="0" applyFill="1" applyBorder="1" applyAlignment="1" applyProtection="1">
      <alignment wrapText="1"/>
      <protection hidden="1"/>
    </xf>
    <xf numFmtId="0" fontId="15" fillId="0" borderId="0" xfId="2"/>
    <xf numFmtId="14" fontId="15" fillId="0" borderId="0" xfId="2" applyNumberFormat="1"/>
    <xf numFmtId="164" fontId="15" fillId="0" borderId="0" xfId="2" applyNumberFormat="1"/>
    <xf numFmtId="0" fontId="15" fillId="4" borderId="0" xfId="2" applyFill="1"/>
    <xf numFmtId="0" fontId="15" fillId="4" borderId="0" xfId="2" applyFill="1" applyAlignment="1">
      <alignment vertical="center"/>
    </xf>
    <xf numFmtId="0" fontId="15" fillId="5" borderId="0" xfId="2" applyFill="1"/>
    <xf numFmtId="0" fontId="0" fillId="5" borderId="0" xfId="0" applyFill="1"/>
    <xf numFmtId="0" fontId="16" fillId="5" borderId="0" xfId="0" applyFont="1" applyFill="1" applyAlignment="1">
      <alignment vertical="center"/>
    </xf>
    <xf numFmtId="0" fontId="0" fillId="6" borderId="9" xfId="0" applyFill="1" applyBorder="1" applyProtection="1">
      <protection locked="0"/>
    </xf>
    <xf numFmtId="14" fontId="0" fillId="6" borderId="9" xfId="0" applyNumberFormat="1" applyFill="1" applyBorder="1" applyProtection="1">
      <protection locked="0"/>
    </xf>
    <xf numFmtId="0" fontId="0" fillId="0" borderId="11" xfId="0" applyBorder="1" applyProtection="1">
      <protection hidden="1"/>
    </xf>
    <xf numFmtId="0" fontId="0" fillId="2" borderId="0" xfId="0" applyFill="1" applyAlignment="1">
      <alignment horizontal="center"/>
    </xf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12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6" borderId="13" xfId="0" applyFill="1" applyBorder="1" applyAlignment="1" applyProtection="1">
      <alignment horizontal="left" vertical="top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14" xfId="0" applyFill="1" applyBorder="1" applyAlignment="1" applyProtection="1">
      <alignment horizontal="left" vertical="top"/>
      <protection locked="0"/>
    </xf>
    <xf numFmtId="0" fontId="0" fillId="6" borderId="15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0" xfId="0" applyFill="1" applyBorder="1" applyAlignment="1" applyProtection="1">
      <alignment horizontal="left" vertical="top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/>
      <protection locked="0"/>
    </xf>
    <xf numFmtId="0" fontId="9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6" borderId="7" xfId="0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Porcentaje" xfId="1" builtinId="5"/>
  </cellStyles>
  <dxfs count="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 y Validaci&#243;n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O18"/>
  <sheetViews>
    <sheetView showGridLines="0" workbookViewId="0">
      <selection activeCell="C6" sqref="C6:N7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76" t="s">
        <v>78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</row>
    <row r="4" spans="2:15" ht="23.25" x14ac:dyDescent="0.35">
      <c r="B4" s="76" t="s">
        <v>11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</row>
    <row r="5" spans="2:15" x14ac:dyDescent="0.25">
      <c r="B5" s="5"/>
      <c r="O5" s="6"/>
    </row>
    <row r="6" spans="2:15" x14ac:dyDescent="0.25">
      <c r="B6" s="5"/>
      <c r="C6" s="79" t="s">
        <v>91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6"/>
    </row>
    <row r="7" spans="2:15" x14ac:dyDescent="0.25">
      <c r="B7" s="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6"/>
    </row>
    <row r="8" spans="2:15" x14ac:dyDescent="0.25">
      <c r="B8" s="5"/>
      <c r="O8" s="6"/>
    </row>
    <row r="9" spans="2:15" x14ac:dyDescent="0.25">
      <c r="B9" s="5"/>
      <c r="O9" s="6"/>
    </row>
    <row r="10" spans="2:15" x14ac:dyDescent="0.25">
      <c r="B10" s="5"/>
      <c r="O10" s="6"/>
    </row>
    <row r="11" spans="2:15" x14ac:dyDescent="0.25">
      <c r="B11" s="5"/>
      <c r="O11" s="6"/>
    </row>
    <row r="12" spans="2:15" x14ac:dyDescent="0.25">
      <c r="B12" s="5"/>
      <c r="O12" s="6"/>
    </row>
    <row r="13" spans="2:15" x14ac:dyDescent="0.25">
      <c r="B13" s="5"/>
      <c r="O13" s="6"/>
    </row>
    <row r="14" spans="2:15" x14ac:dyDescent="0.25">
      <c r="B14" s="5"/>
      <c r="O14" s="6"/>
    </row>
    <row r="15" spans="2:15" x14ac:dyDescent="0.25">
      <c r="B15" s="5"/>
      <c r="O15" s="6"/>
    </row>
    <row r="16" spans="2:15" x14ac:dyDescent="0.25">
      <c r="B16" s="5"/>
      <c r="O16" s="6"/>
    </row>
    <row r="17" spans="2:15" x14ac:dyDescent="0.25">
      <c r="B17" s="5"/>
      <c r="O17" s="6"/>
    </row>
    <row r="18" spans="2:15" ht="15.75" thickBot="1" x14ac:dyDescent="0.3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</sheetData>
  <sheetProtection algorithmName="SHA-512" hashValue="jixiNfD+nofjAxMPyQEwidGoTJEdLEh3lZobn98nwgWvzNuweENJPEe6u5elpVqKe6ynHDatuY0qk+QHeybBlg==" saltValue="4rftt6+0w0ym0OjRMUwWOw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5:T19"/>
  <sheetViews>
    <sheetView topLeftCell="A7" zoomScale="89" zoomScaleNormal="89" workbookViewId="0">
      <selection activeCell="I19" sqref="I19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36"/>
    <col min="10" max="10" width="11.85546875" style="36" bestFit="1" customWidth="1"/>
    <col min="11" max="16384" width="11.42578125" style="1"/>
  </cols>
  <sheetData>
    <row r="5" spans="2:20" ht="15.75" thickBot="1" x14ac:dyDescent="0.3"/>
    <row r="6" spans="2:20" x14ac:dyDescent="0.25">
      <c r="B6" s="10"/>
      <c r="C6" s="11"/>
      <c r="D6" s="11"/>
      <c r="E6" s="11"/>
      <c r="F6" s="11"/>
      <c r="G6" s="12"/>
    </row>
    <row r="7" spans="2:20" ht="21" x14ac:dyDescent="0.35">
      <c r="B7" s="80" t="s">
        <v>109</v>
      </c>
      <c r="C7" s="81"/>
      <c r="D7" s="81"/>
      <c r="E7" s="81"/>
      <c r="F7" s="81"/>
      <c r="G7" s="82"/>
      <c r="T7" s="1" t="s">
        <v>12</v>
      </c>
    </row>
    <row r="8" spans="2:20" ht="15.75" thickBot="1" x14ac:dyDescent="0.3">
      <c r="B8" s="13"/>
      <c r="D8" s="88" t="s">
        <v>148</v>
      </c>
      <c r="E8" s="88"/>
      <c r="G8" s="14"/>
      <c r="T8" s="1" t="s">
        <v>13</v>
      </c>
    </row>
    <row r="9" spans="2:20" ht="15.75" thickBot="1" x14ac:dyDescent="0.3">
      <c r="B9" s="86" t="s">
        <v>111</v>
      </c>
      <c r="C9" s="87"/>
      <c r="D9" s="69">
        <v>44636</v>
      </c>
      <c r="G9" s="14"/>
      <c r="T9" s="1" t="s">
        <v>14</v>
      </c>
    </row>
    <row r="10" spans="2:20" x14ac:dyDescent="0.25">
      <c r="B10" s="13" t="s">
        <v>174</v>
      </c>
      <c r="G10" s="58">
        <v>43545</v>
      </c>
    </row>
    <row r="11" spans="2:20" x14ac:dyDescent="0.25">
      <c r="B11" s="20" t="s">
        <v>15</v>
      </c>
      <c r="C11" s="21" t="s">
        <v>16</v>
      </c>
      <c r="D11" s="22" t="s">
        <v>6</v>
      </c>
      <c r="E11" s="21" t="s">
        <v>7</v>
      </c>
      <c r="F11" s="21" t="s">
        <v>17</v>
      </c>
      <c r="G11" s="23" t="s">
        <v>79</v>
      </c>
    </row>
    <row r="12" spans="2:20" x14ac:dyDescent="0.25">
      <c r="B12" s="19" t="s">
        <v>0</v>
      </c>
      <c r="C12" s="68" t="s">
        <v>12</v>
      </c>
      <c r="D12" s="69">
        <v>43720</v>
      </c>
      <c r="E12" s="68" t="s">
        <v>182</v>
      </c>
      <c r="F12" s="69">
        <v>43720</v>
      </c>
      <c r="G12" s="70" t="str">
        <f>+IF(C12="SI",IF(F12&lt;$G$10,"DESACTUALIZADO",""),"")</f>
        <v/>
      </c>
      <c r="H12" s="36">
        <f t="shared" ref="H12:H17" si="0">+IF(C12="N/A",1,0)</f>
        <v>0</v>
      </c>
      <c r="I12" s="36">
        <f t="shared" ref="I12:I17" si="1">+IF(C12="Si",1,0)</f>
        <v>1</v>
      </c>
      <c r="J12" s="36">
        <f t="shared" ref="J12:J17" si="2">+IF(C12="No",1,0)</f>
        <v>0</v>
      </c>
    </row>
    <row r="13" spans="2:20" x14ac:dyDescent="0.25">
      <c r="B13" s="19" t="s">
        <v>1</v>
      </c>
      <c r="C13" s="68" t="s">
        <v>12</v>
      </c>
      <c r="D13" s="69">
        <v>43717</v>
      </c>
      <c r="E13" s="68" t="s">
        <v>183</v>
      </c>
      <c r="F13" s="68"/>
      <c r="G13" s="70" t="str">
        <f t="shared" ref="G13:G17" si="3">+IF(C13="SI",IF(F13&lt;$G$10,"DESACTUALIZADO",""),"")</f>
        <v>DESACTUALIZADO</v>
      </c>
      <c r="H13" s="36">
        <f t="shared" si="0"/>
        <v>0</v>
      </c>
      <c r="I13" s="36">
        <f t="shared" si="1"/>
        <v>1</v>
      </c>
      <c r="J13" s="36">
        <f t="shared" si="2"/>
        <v>0</v>
      </c>
    </row>
    <row r="14" spans="2:20" x14ac:dyDescent="0.25">
      <c r="B14" s="19" t="s">
        <v>2</v>
      </c>
      <c r="C14" s="68" t="s">
        <v>12</v>
      </c>
      <c r="D14" s="69">
        <v>43720</v>
      </c>
      <c r="E14" s="68" t="s">
        <v>184</v>
      </c>
      <c r="F14" s="69">
        <v>43720</v>
      </c>
      <c r="G14" s="70" t="str">
        <f t="shared" si="3"/>
        <v/>
      </c>
      <c r="H14" s="36">
        <f t="shared" si="0"/>
        <v>0</v>
      </c>
      <c r="I14" s="36">
        <f t="shared" si="1"/>
        <v>1</v>
      </c>
      <c r="J14" s="36">
        <f t="shared" si="2"/>
        <v>0</v>
      </c>
      <c r="T14" s="41">
        <v>43545</v>
      </c>
    </row>
    <row r="15" spans="2:20" x14ac:dyDescent="0.25">
      <c r="B15" s="19" t="s">
        <v>3</v>
      </c>
      <c r="C15" s="68" t="s">
        <v>12</v>
      </c>
      <c r="D15" s="69">
        <v>42198</v>
      </c>
      <c r="E15" s="68" t="s">
        <v>185</v>
      </c>
      <c r="F15" s="69">
        <v>44243</v>
      </c>
      <c r="G15" s="70" t="str">
        <f t="shared" si="3"/>
        <v/>
      </c>
      <c r="H15" s="36">
        <f t="shared" si="0"/>
        <v>0</v>
      </c>
      <c r="I15" s="36">
        <f t="shared" si="1"/>
        <v>1</v>
      </c>
      <c r="J15" s="36">
        <f t="shared" si="2"/>
        <v>0</v>
      </c>
    </row>
    <row r="16" spans="2:20" x14ac:dyDescent="0.25">
      <c r="B16" s="19" t="s">
        <v>4</v>
      </c>
      <c r="C16" s="68" t="s">
        <v>12</v>
      </c>
      <c r="D16" s="69">
        <v>43717</v>
      </c>
      <c r="E16" s="68" t="s">
        <v>183</v>
      </c>
      <c r="F16" s="68"/>
      <c r="G16" s="70" t="str">
        <f t="shared" si="3"/>
        <v>DESACTUALIZADO</v>
      </c>
      <c r="H16" s="36">
        <f t="shared" si="0"/>
        <v>0</v>
      </c>
      <c r="I16" s="36">
        <f t="shared" si="1"/>
        <v>1</v>
      </c>
      <c r="J16" s="36">
        <f t="shared" si="2"/>
        <v>0</v>
      </c>
    </row>
    <row r="17" spans="2:10" x14ac:dyDescent="0.25">
      <c r="B17" s="19" t="s">
        <v>5</v>
      </c>
      <c r="C17" s="68" t="s">
        <v>13</v>
      </c>
      <c r="D17" s="68"/>
      <c r="E17" s="68" t="s">
        <v>13</v>
      </c>
      <c r="F17" s="68"/>
      <c r="G17" s="70" t="str">
        <f t="shared" si="3"/>
        <v/>
      </c>
      <c r="H17" s="36">
        <f t="shared" si="0"/>
        <v>0</v>
      </c>
      <c r="I17" s="36">
        <f t="shared" si="1"/>
        <v>0</v>
      </c>
      <c r="J17" s="36">
        <f t="shared" si="2"/>
        <v>1</v>
      </c>
    </row>
    <row r="18" spans="2:10" x14ac:dyDescent="0.25">
      <c r="B18" s="13"/>
      <c r="G18" s="14"/>
    </row>
    <row r="19" spans="2:10" ht="94.5" customHeight="1" thickBot="1" x14ac:dyDescent="0.3">
      <c r="B19" s="53" t="s">
        <v>94</v>
      </c>
      <c r="C19" s="83" t="s">
        <v>195</v>
      </c>
      <c r="D19" s="84"/>
      <c r="E19" s="84"/>
      <c r="F19" s="84"/>
      <c r="G19" s="85"/>
    </row>
  </sheetData>
  <sheetProtection algorithmName="SHA-512" hashValue="oHz1DPDdCQTfk6HZYZzwTSwYDKTppR1PbQ2tnrxwRrliyvD3HJxqgmjnxso6QvoYykx3jGyO1xZtda5gpn7FiQ==" saltValue="yDPNcT7s0avqeYJyH+YnUg==" spinCount="100000" sheet="1" objects="1" scenarios="1"/>
  <dataConsolidate/>
  <mergeCells count="4">
    <mergeCell ref="B7:G7"/>
    <mergeCell ref="C19:G19"/>
    <mergeCell ref="B9:C9"/>
    <mergeCell ref="D8:E8"/>
  </mergeCells>
  <conditionalFormatting sqref="C12:C17">
    <cfRule type="containsText" dxfId="39" priority="18" operator="containsText" text="N/A">
      <formula>NOT(ISERROR(SEARCH("N/A",C12)))</formula>
    </cfRule>
  </conditionalFormatting>
  <conditionalFormatting sqref="C19">
    <cfRule type="containsBlanks" dxfId="38" priority="19">
      <formula>LEN(TRIM(C19))=0</formula>
    </cfRule>
  </conditionalFormatting>
  <conditionalFormatting sqref="C12:F17">
    <cfRule type="containsBlanks" dxfId="37" priority="20">
      <formula>LEN(TRIM(C12))=0</formula>
    </cfRule>
  </conditionalFormatting>
  <conditionalFormatting sqref="D9">
    <cfRule type="containsBlanks" dxfId="36" priority="25">
      <formula>LEN(TRIM(D9))=0</formula>
    </cfRule>
  </conditionalFormatting>
  <conditionalFormatting sqref="D14">
    <cfRule type="expression" dxfId="35" priority="5">
      <formula>OR($C$12="No",$C$12="N/A")</formula>
    </cfRule>
  </conditionalFormatting>
  <conditionalFormatting sqref="D16:E16">
    <cfRule type="expression" dxfId="34" priority="1">
      <formula>OR($C$13="No",$C$13="N/A")</formula>
    </cfRule>
  </conditionalFormatting>
  <conditionalFormatting sqref="D12:F12">
    <cfRule type="expression" dxfId="33" priority="14">
      <formula>OR($C$12="No",$C$12="N/A")</formula>
    </cfRule>
  </conditionalFormatting>
  <conditionalFormatting sqref="D13:F13">
    <cfRule type="expression" dxfId="32" priority="11">
      <formula>OR($C$13="No",$C$13="N/A")</formula>
    </cfRule>
  </conditionalFormatting>
  <conditionalFormatting sqref="D14:F14">
    <cfRule type="expression" dxfId="31" priority="13">
      <formula>OR($C$14="No",$C$14="N/A")</formula>
    </cfRule>
  </conditionalFormatting>
  <conditionalFormatting sqref="D15:F15">
    <cfRule type="expression" dxfId="30" priority="9">
      <formula>OR($C$15="No",$C$15="N/A")</formula>
    </cfRule>
  </conditionalFormatting>
  <conditionalFormatting sqref="D16:F16">
    <cfRule type="expression" dxfId="29" priority="8">
      <formula>OR($C$16="No",$C$16="N/A")</formula>
    </cfRule>
  </conditionalFormatting>
  <conditionalFormatting sqref="D17:F17">
    <cfRule type="expression" dxfId="28" priority="7">
      <formula>OR($C$17="No",$C$17="N/A")</formula>
    </cfRule>
  </conditionalFormatting>
  <conditionalFormatting sqref="F14:F15">
    <cfRule type="expression" dxfId="27" priority="3">
      <formula>OR($C$12="No",$C$12="N/A")</formula>
    </cfRule>
  </conditionalFormatting>
  <conditionalFormatting sqref="F15">
    <cfRule type="expression" dxfId="26" priority="4">
      <formula>OR($C$14="No",$C$14="N/A")</formula>
    </cfRule>
  </conditionalFormatting>
  <dataValidations count="5">
    <dataValidation type="date" showInputMessage="1" showErrorMessage="1" promptTitle="Fecha de Generacion del Reporte" prompt="Indique la fecha en que genera o Elabora este reporte de Usuarios Activos  No Abogados" sqref="D9" xr:uid="{00000000-0002-0000-0100-000000000000}">
      <formula1>44580</formula1>
      <formula2>44642</formula2>
    </dataValidation>
    <dataValidation type="date" showInputMessage="1" showErrorMessage="1" errorTitle="Fecha invalida" error="La fecha debe estar entre el 01/01/2011 y el 31/03/2022" promptTitle="Fecha de Creación del Rol" prompt="Indique la ultima fecha de Creación del Rol en Ekogui que se encuentra en estado Activo en el formato &quot;DD/MM/AAAA&quot;" sqref="D12:D17 F12:F17" xr:uid="{00000000-0002-0000-0100-000001000000}">
      <formula1>40544</formula1>
      <formula2>44651</formula2>
    </dataValidation>
    <dataValidation type="list" showInputMessage="1" showErrorMessage="1" errorTitle="Campo en Blanco" error="El campo debe tener un valor asignado" promptTitle="ROL Asignado Activo en Ekogui" prompt="Indique si tiene o no el Rol asignado Activo en el aplicativo Ekogui, un usuario puede tener uno o mas Roles Activos en el sistema. Relacionar los que apliquen. Si el Rol No aplica para su entidad Seleccione N/A" sqref="C12:C17" xr:uid="{00000000-0002-0000-0100-000002000000}">
      <formula1>$T$7:$T$9</formula1>
    </dataValidation>
    <dataValidation showInputMessage="1" showErrorMessage="1" sqref="E12 E14:E17" xr:uid="{00000000-0002-0000-0100-000003000000}"/>
    <dataValidation showInputMessage="1" showErrorMessage="1" errorTitle="Fecha invalida" error="La fecha debe estar entre el 01/01/2011 y el 31/03/2022" sqref="E13" xr:uid="{00000000-0002-0000-0100-000004000000}"/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V26"/>
  <sheetViews>
    <sheetView showGridLines="0" zoomScale="91" zoomScaleNormal="91" workbookViewId="0">
      <selection activeCell="C22" sqref="C22:G25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+IF(D12&lt;=10,D12,IF(ROUNDDOWN(D12*10%,0)&lt;10,10,ROUNDDOWN(D12*10%,0)))</f>
        <v>10</v>
      </c>
    </row>
    <row r="4" spans="2:22" x14ac:dyDescent="0.25">
      <c r="B4" s="13"/>
      <c r="H4" s="14"/>
    </row>
    <row r="5" spans="2:22" x14ac:dyDescent="0.25">
      <c r="B5" s="13"/>
      <c r="D5" s="1" t="s">
        <v>148</v>
      </c>
      <c r="H5" s="14"/>
    </row>
    <row r="6" spans="2:22" ht="15" customHeight="1" x14ac:dyDescent="0.25">
      <c r="B6" s="13"/>
      <c r="G6" s="26"/>
      <c r="H6" s="27"/>
    </row>
    <row r="7" spans="2:22" ht="17.25" customHeight="1" x14ac:dyDescent="0.35">
      <c r="B7" s="13"/>
      <c r="C7" s="18" t="s">
        <v>111</v>
      </c>
      <c r="D7" s="69">
        <v>44636</v>
      </c>
      <c r="E7" s="24"/>
      <c r="F7" s="89" t="str">
        <f>"Seleccione una muestra de "&amp;V3&amp;" abogados activos y complete la siguiente tabla"</f>
        <v>Seleccione una muestra de 10 abogados activos y complete la siguiente tabla</v>
      </c>
      <c r="G7" s="90"/>
      <c r="H7" s="27"/>
    </row>
    <row r="8" spans="2:22" x14ac:dyDescent="0.25">
      <c r="B8" s="13"/>
      <c r="F8" s="91"/>
      <c r="G8" s="92"/>
      <c r="H8" s="14"/>
      <c r="T8" s="1" t="s">
        <v>13</v>
      </c>
    </row>
    <row r="9" spans="2:22" ht="23.25" x14ac:dyDescent="0.25">
      <c r="B9" s="13"/>
      <c r="C9" s="28" t="s">
        <v>149</v>
      </c>
      <c r="E9"/>
      <c r="F9" s="22" t="s">
        <v>98</v>
      </c>
      <c r="G9" s="22" t="s">
        <v>19</v>
      </c>
      <c r="H9" s="14"/>
      <c r="T9" s="1" t="s">
        <v>14</v>
      </c>
    </row>
    <row r="10" spans="2:22" x14ac:dyDescent="0.25">
      <c r="B10" s="13"/>
      <c r="C10" s="21" t="s">
        <v>150</v>
      </c>
      <c r="D10" s="21" t="s">
        <v>23</v>
      </c>
      <c r="E10"/>
      <c r="F10" s="18" t="s">
        <v>95</v>
      </c>
      <c r="G10" s="68">
        <v>8</v>
      </c>
      <c r="H10" s="14"/>
    </row>
    <row r="11" spans="2:22" x14ac:dyDescent="0.25">
      <c r="B11" s="13"/>
      <c r="C11" s="18" t="s">
        <v>21</v>
      </c>
      <c r="D11" s="68">
        <v>10</v>
      </c>
      <c r="E11"/>
      <c r="F11" s="18" t="s">
        <v>96</v>
      </c>
      <c r="G11" s="68">
        <v>8</v>
      </c>
      <c r="H11" s="14"/>
    </row>
    <row r="12" spans="2:22" x14ac:dyDescent="0.25">
      <c r="B12" s="13"/>
      <c r="C12" s="18" t="s">
        <v>22</v>
      </c>
      <c r="D12" s="68">
        <v>15</v>
      </c>
      <c r="E12"/>
      <c r="F12" s="18" t="s">
        <v>97</v>
      </c>
      <c r="G12" s="68">
        <v>8</v>
      </c>
      <c r="H12" s="14"/>
    </row>
    <row r="13" spans="2:22" x14ac:dyDescent="0.25">
      <c r="B13" s="13"/>
      <c r="C13" s="18" t="s">
        <v>26</v>
      </c>
      <c r="D13" s="68">
        <v>15</v>
      </c>
      <c r="E13"/>
      <c r="F13" s="44" t="s">
        <v>103</v>
      </c>
      <c r="G13" s="43"/>
      <c r="H13" s="14"/>
    </row>
    <row r="14" spans="2:22" x14ac:dyDescent="0.25">
      <c r="B14" s="13"/>
      <c r="E14"/>
      <c r="F14" s="45" t="s">
        <v>104</v>
      </c>
      <c r="G14" s="46"/>
      <c r="H14" s="14"/>
    </row>
    <row r="15" spans="2:22" x14ac:dyDescent="0.25">
      <c r="B15" s="13"/>
      <c r="E15"/>
      <c r="H15" s="14"/>
    </row>
    <row r="16" spans="2:22" x14ac:dyDescent="0.25">
      <c r="B16" s="13"/>
      <c r="C16" s="21" t="s">
        <v>24</v>
      </c>
      <c r="D16" s="21" t="s">
        <v>23</v>
      </c>
      <c r="E16"/>
      <c r="F16" s="22" t="s">
        <v>107</v>
      </c>
      <c r="G16" s="22" t="s">
        <v>19</v>
      </c>
      <c r="H16" s="14"/>
    </row>
    <row r="17" spans="2:8" x14ac:dyDescent="0.25">
      <c r="B17" s="13"/>
      <c r="C17" s="18" t="s">
        <v>175</v>
      </c>
      <c r="D17" s="68">
        <v>0</v>
      </c>
      <c r="E17"/>
      <c r="F17" s="18" t="s">
        <v>110</v>
      </c>
      <c r="G17" s="68">
        <v>6</v>
      </c>
      <c r="H17" s="14"/>
    </row>
    <row r="18" spans="2:8" x14ac:dyDescent="0.25">
      <c r="B18" s="13"/>
      <c r="C18" s="18" t="s">
        <v>176</v>
      </c>
      <c r="D18" s="68">
        <v>0</v>
      </c>
      <c r="E18"/>
      <c r="F18" s="37" t="s">
        <v>80</v>
      </c>
      <c r="G18" s="68">
        <v>5</v>
      </c>
      <c r="H18" s="14"/>
    </row>
    <row r="19" spans="2:8" x14ac:dyDescent="0.25">
      <c r="B19" s="13"/>
      <c r="C19" s="49"/>
      <c r="E19"/>
      <c r="F19" s="18" t="s">
        <v>100</v>
      </c>
      <c r="G19" s="68">
        <v>0</v>
      </c>
      <c r="H19" s="14"/>
    </row>
    <row r="20" spans="2:8" x14ac:dyDescent="0.25">
      <c r="B20" s="13"/>
      <c r="C20" s="49"/>
      <c r="E20"/>
      <c r="F20" s="18" t="s">
        <v>25</v>
      </c>
      <c r="G20" s="68">
        <v>0</v>
      </c>
      <c r="H20" s="14"/>
    </row>
    <row r="21" spans="2:8" x14ac:dyDescent="0.25">
      <c r="B21" s="13"/>
      <c r="C21" s="49" t="s">
        <v>99</v>
      </c>
      <c r="E21"/>
      <c r="F21"/>
      <c r="G21"/>
      <c r="H21" s="14"/>
    </row>
    <row r="22" spans="2:8" x14ac:dyDescent="0.25">
      <c r="B22" s="13"/>
      <c r="C22" s="93" t="s">
        <v>189</v>
      </c>
      <c r="D22" s="94"/>
      <c r="E22" s="94"/>
      <c r="F22" s="94"/>
      <c r="G22" s="95"/>
      <c r="H22" s="14"/>
    </row>
    <row r="23" spans="2:8" x14ac:dyDescent="0.25">
      <c r="B23" s="13"/>
      <c r="C23" s="96"/>
      <c r="D23" s="97"/>
      <c r="E23" s="97"/>
      <c r="F23" s="97"/>
      <c r="G23" s="98"/>
      <c r="H23" s="14"/>
    </row>
    <row r="24" spans="2:8" x14ac:dyDescent="0.25">
      <c r="B24" s="13"/>
      <c r="C24" s="96"/>
      <c r="D24" s="97"/>
      <c r="E24" s="97"/>
      <c r="F24" s="97"/>
      <c r="G24" s="98"/>
      <c r="H24" s="14"/>
    </row>
    <row r="25" spans="2:8" x14ac:dyDescent="0.25">
      <c r="B25" s="13"/>
      <c r="C25" s="99"/>
      <c r="D25" s="100"/>
      <c r="E25" s="100"/>
      <c r="F25" s="100"/>
      <c r="G25" s="101"/>
      <c r="H25" s="14"/>
    </row>
    <row r="26" spans="2:8" ht="15.75" thickBot="1" x14ac:dyDescent="0.3">
      <c r="B26" s="15"/>
      <c r="C26" s="16"/>
      <c r="D26" s="16"/>
      <c r="E26" s="16"/>
      <c r="F26" s="16"/>
      <c r="G26" s="16"/>
      <c r="H26" s="17"/>
    </row>
  </sheetData>
  <sheetProtection algorithmName="SHA-512" hashValue="9NwfrAZwwCCqcnmjgItUn7cSCgEOM1RfPFDCS/YBNTlj50wGzL24n1SYV7L5mQM/ZmVrcd+lsAQ/bVkRaodCXg==" saltValue="DgJkwMDcocd3A27+7ly9aA==" spinCount="100000" sheet="1" objects="1" scenarios="1"/>
  <mergeCells count="2">
    <mergeCell ref="F7:G8"/>
    <mergeCell ref="C22:G25"/>
  </mergeCells>
  <conditionalFormatting sqref="C22">
    <cfRule type="containsBlanks" dxfId="25" priority="9">
      <formula>LEN(TRIM(C22))=0</formula>
    </cfRule>
  </conditionalFormatting>
  <conditionalFormatting sqref="D7">
    <cfRule type="containsBlanks" dxfId="24" priority="1">
      <formula>LEN(TRIM(D7))=0</formula>
    </cfRule>
  </conditionalFormatting>
  <conditionalFormatting sqref="D11:D13">
    <cfRule type="containsBlanks" dxfId="23" priority="13">
      <formula>LEN(TRIM(D11))=0</formula>
    </cfRule>
  </conditionalFormatting>
  <conditionalFormatting sqref="D17:D18">
    <cfRule type="containsBlanks" dxfId="22" priority="5">
      <formula>LEN(TRIM(D17))=0</formula>
    </cfRule>
  </conditionalFormatting>
  <conditionalFormatting sqref="G10:G12">
    <cfRule type="containsBlanks" dxfId="21" priority="4">
      <formula>LEN(TRIM(G10))=0</formula>
    </cfRule>
  </conditionalFormatting>
  <conditionalFormatting sqref="G17:G20">
    <cfRule type="containsBlanks" dxfId="20" priority="3">
      <formula>LEN(TRIM(G17))=0</formula>
    </cfRule>
  </conditionalFormatting>
  <dataValidations count="2">
    <dataValidation type="whole" operator="greaterThanOrEqual" showInputMessage="1" showErrorMessage="1" errorTitle="Numero Invalido" promptTitle="Ingrese la cantidad Solicitada" prompt="Ingrese la cantidad Solicitada" sqref="G17:G20 D17:D18 G10:G12 D11:D13" xr:uid="{00000000-0002-0000-0200-000000000000}">
      <formula1>0</formula1>
    </dataValidation>
    <dataValidation type="date" showInputMessage="1" showErrorMessage="1" errorTitle="FECHA INVALIDA" promptTitle="Fecha de Generacion del Reporte " prompt="Diligenciar la fecha de Generacion de este Reporte de Usuarios Abogados Formato (DD/MM/AAAA)" sqref="D7" xr:uid="{00000000-0002-0000-0200-000001000000}">
      <formula1>44580</formula1>
      <formula2>44642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W34"/>
  <sheetViews>
    <sheetView showGridLines="0" topLeftCell="B9" zoomScale="90" zoomScaleNormal="90" workbookViewId="0">
      <selection activeCell="J25" sqref="J25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67.42578125" style="1" customWidth="1"/>
    <col min="4" max="4" width="15.28515625" style="1" customWidth="1"/>
    <col min="5" max="5" width="6.28515625" style="1" customWidth="1"/>
    <col min="6" max="6" width="63.5703125" style="1" customWidth="1"/>
    <col min="7" max="7" width="16.8554687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10"/>
      <c r="C2" s="11"/>
      <c r="D2" s="11"/>
      <c r="E2" s="11"/>
      <c r="F2" s="11"/>
      <c r="G2" s="11"/>
      <c r="H2" s="11"/>
      <c r="I2" s="12"/>
    </row>
    <row r="3" spans="2:23" x14ac:dyDescent="0.25">
      <c r="B3" s="13"/>
      <c r="I3" s="14"/>
      <c r="W3" s="25">
        <f>+IF(D17&lt;=10,D17,IF(ROUNDDOWN(D17*10%,0)&lt;10,10,ROUNDDOWN(D17*10%,0)))</f>
        <v>4</v>
      </c>
    </row>
    <row r="4" spans="2:23" x14ac:dyDescent="0.25">
      <c r="B4" s="13"/>
      <c r="I4" s="14"/>
    </row>
    <row r="5" spans="2:23" ht="9" customHeight="1" x14ac:dyDescent="0.25">
      <c r="B5" s="13"/>
      <c r="I5" s="14"/>
    </row>
    <row r="6" spans="2:23" ht="19.5" customHeight="1" x14ac:dyDescent="0.25">
      <c r="B6" s="13"/>
      <c r="C6" s="106" t="s">
        <v>68</v>
      </c>
      <c r="D6" s="106"/>
      <c r="E6" s="106"/>
      <c r="F6" s="106"/>
      <c r="G6" s="106"/>
      <c r="H6" s="106"/>
      <c r="I6" s="27"/>
    </row>
    <row r="7" spans="2:23" x14ac:dyDescent="0.25">
      <c r="B7" s="13"/>
      <c r="E7" s="71" t="s">
        <v>148</v>
      </c>
      <c r="I7" s="14"/>
      <c r="U7" s="1" t="s">
        <v>13</v>
      </c>
    </row>
    <row r="8" spans="2:23" x14ac:dyDescent="0.25">
      <c r="B8" s="13"/>
      <c r="C8" s="21" t="s">
        <v>111</v>
      </c>
      <c r="D8" s="69">
        <v>44636</v>
      </c>
      <c r="E8"/>
      <c r="F8" s="31" t="s">
        <v>106</v>
      </c>
      <c r="G8" s="31" t="s">
        <v>18</v>
      </c>
      <c r="I8" s="14"/>
      <c r="U8" s="1" t="s">
        <v>14</v>
      </c>
    </row>
    <row r="9" spans="2:23" x14ac:dyDescent="0.25">
      <c r="B9" s="13"/>
      <c r="E9"/>
      <c r="F9" s="18" t="s">
        <v>27</v>
      </c>
      <c r="G9" s="68">
        <v>0</v>
      </c>
      <c r="I9" s="14"/>
    </row>
    <row r="10" spans="2:23" x14ac:dyDescent="0.25">
      <c r="B10" s="13"/>
      <c r="C10" s="21" t="s">
        <v>151</v>
      </c>
      <c r="D10" s="21" t="s">
        <v>23</v>
      </c>
      <c r="E10"/>
      <c r="F10" s="18" t="s">
        <v>60</v>
      </c>
      <c r="G10" s="68">
        <v>0</v>
      </c>
      <c r="I10" s="14"/>
    </row>
    <row r="11" spans="2:23" x14ac:dyDescent="0.25">
      <c r="B11" s="13"/>
      <c r="C11" s="18" t="s">
        <v>28</v>
      </c>
      <c r="D11" s="68">
        <v>409</v>
      </c>
      <c r="E11"/>
      <c r="F11" s="18" t="s">
        <v>83</v>
      </c>
      <c r="G11" s="68">
        <v>0</v>
      </c>
      <c r="I11" s="14"/>
    </row>
    <row r="12" spans="2:23" x14ac:dyDescent="0.25">
      <c r="B12" s="13"/>
      <c r="C12" s="18" t="s">
        <v>29</v>
      </c>
      <c r="D12" s="68">
        <v>406</v>
      </c>
      <c r="E12"/>
      <c r="F12" s="32" t="s">
        <v>158</v>
      </c>
      <c r="I12" s="14"/>
    </row>
    <row r="13" spans="2:23" x14ac:dyDescent="0.25">
      <c r="B13" s="13"/>
      <c r="C13" s="18" t="s">
        <v>81</v>
      </c>
      <c r="D13" s="68">
        <v>3</v>
      </c>
      <c r="E13"/>
      <c r="F13" s="32" t="s">
        <v>84</v>
      </c>
      <c r="I13" s="14"/>
    </row>
    <row r="14" spans="2:23" x14ac:dyDescent="0.25">
      <c r="B14" s="13"/>
      <c r="C14" s="32" t="s">
        <v>152</v>
      </c>
      <c r="E14"/>
      <c r="F14" s="22" t="s">
        <v>33</v>
      </c>
      <c r="G14" s="22" t="s">
        <v>23</v>
      </c>
      <c r="I14" s="14"/>
    </row>
    <row r="15" spans="2:23" x14ac:dyDescent="0.25">
      <c r="B15" s="13"/>
      <c r="C15" s="21" t="s">
        <v>153</v>
      </c>
      <c r="D15" s="21" t="s">
        <v>23</v>
      </c>
      <c r="E15"/>
      <c r="F15" s="18" t="s">
        <v>159</v>
      </c>
      <c r="G15" s="68">
        <v>405</v>
      </c>
      <c r="I15" s="14"/>
    </row>
    <row r="16" spans="2:23" x14ac:dyDescent="0.25">
      <c r="B16" s="13"/>
      <c r="C16" s="18" t="s">
        <v>154</v>
      </c>
      <c r="D16" s="68">
        <v>19</v>
      </c>
      <c r="E16"/>
      <c r="F16" s="18" t="s">
        <v>160</v>
      </c>
      <c r="G16" s="68">
        <v>30</v>
      </c>
      <c r="I16" s="14"/>
    </row>
    <row r="17" spans="2:9" x14ac:dyDescent="0.25">
      <c r="B17" s="13"/>
      <c r="C17" s="18" t="s">
        <v>155</v>
      </c>
      <c r="D17" s="68">
        <v>4</v>
      </c>
      <c r="E17"/>
      <c r="F17" s="18" t="s">
        <v>161</v>
      </c>
      <c r="G17" s="68">
        <v>277</v>
      </c>
      <c r="I17" s="14"/>
    </row>
    <row r="18" spans="2:9" x14ac:dyDescent="0.25">
      <c r="B18" s="13"/>
      <c r="C18" s="32" t="s">
        <v>113</v>
      </c>
      <c r="E18"/>
      <c r="F18" s="18" t="s">
        <v>35</v>
      </c>
      <c r="G18" s="68">
        <v>41</v>
      </c>
      <c r="I18" s="14"/>
    </row>
    <row r="19" spans="2:9" x14ac:dyDescent="0.25">
      <c r="B19" s="13"/>
      <c r="E19"/>
      <c r="I19" s="14"/>
    </row>
    <row r="20" spans="2:9" ht="29.25" customHeight="1" x14ac:dyDescent="0.25">
      <c r="B20" s="13"/>
      <c r="C20" s="42" t="s">
        <v>32</v>
      </c>
      <c r="D20" s="42" t="s">
        <v>23</v>
      </c>
      <c r="E20"/>
      <c r="F20" s="33" t="s">
        <v>105</v>
      </c>
      <c r="G20" s="33" t="s">
        <v>163</v>
      </c>
      <c r="H20" s="34" t="s">
        <v>67</v>
      </c>
      <c r="I20" s="14"/>
    </row>
    <row r="21" spans="2:9" x14ac:dyDescent="0.25">
      <c r="B21" s="13"/>
      <c r="C21" s="51" t="s">
        <v>156</v>
      </c>
      <c r="D21" s="68">
        <v>322</v>
      </c>
      <c r="E21"/>
      <c r="F21" s="18" t="s">
        <v>63</v>
      </c>
      <c r="G21" s="68">
        <v>29</v>
      </c>
      <c r="H21" s="68">
        <v>19</v>
      </c>
      <c r="I21" s="14"/>
    </row>
    <row r="22" spans="2:9" ht="15" customHeight="1" x14ac:dyDescent="0.25">
      <c r="B22" s="13"/>
      <c r="C22" s="51" t="s">
        <v>82</v>
      </c>
      <c r="D22" s="68">
        <v>68</v>
      </c>
      <c r="E22"/>
      <c r="F22" s="18" t="s">
        <v>64</v>
      </c>
      <c r="G22" s="68">
        <v>202</v>
      </c>
      <c r="H22" s="68">
        <v>160</v>
      </c>
      <c r="I22" s="14"/>
    </row>
    <row r="23" spans="2:9" ht="24.75" x14ac:dyDescent="0.25">
      <c r="B23" s="13"/>
      <c r="C23" s="57" t="s">
        <v>157</v>
      </c>
      <c r="D23" s="57"/>
      <c r="E23"/>
      <c r="F23" s="18" t="s">
        <v>65</v>
      </c>
      <c r="G23" s="68">
        <v>56</v>
      </c>
      <c r="H23" s="68">
        <v>41</v>
      </c>
      <c r="I23" s="14"/>
    </row>
    <row r="24" spans="2:9" x14ac:dyDescent="0.25">
      <c r="B24" s="13"/>
      <c r="E24"/>
      <c r="F24" s="18" t="s">
        <v>66</v>
      </c>
      <c r="G24" s="68">
        <v>22</v>
      </c>
      <c r="H24" s="68">
        <v>17</v>
      </c>
      <c r="I24" s="14"/>
    </row>
    <row r="25" spans="2:9" ht="30" customHeight="1" x14ac:dyDescent="0.25">
      <c r="B25" s="13"/>
      <c r="C25" s="59" t="str">
        <f>"Seleccione "&amp;W3&amp;" procesos teminados en el  segundo semestre de 2021 y llene la siguiente tabla:"</f>
        <v>Seleccione 4 procesos teminados en el  segundo semestre de 2021 y llene la siguiente tabla:</v>
      </c>
      <c r="D25" s="54"/>
      <c r="E25"/>
      <c r="F25" s="107" t="s">
        <v>162</v>
      </c>
      <c r="G25" s="107"/>
      <c r="H25" s="107"/>
      <c r="I25" s="14"/>
    </row>
    <row r="26" spans="2:9" ht="15.75" thickBot="1" x14ac:dyDescent="0.3">
      <c r="B26" s="13"/>
      <c r="C26" s="55"/>
      <c r="D26" s="56"/>
      <c r="E26"/>
      <c r="F26" s="52"/>
      <c r="I26" s="14"/>
    </row>
    <row r="27" spans="2:9" x14ac:dyDescent="0.25">
      <c r="B27" s="13"/>
      <c r="C27" s="42" t="s">
        <v>93</v>
      </c>
      <c r="D27" s="42" t="s">
        <v>23</v>
      </c>
      <c r="E27"/>
      <c r="F27" s="102" t="s">
        <v>92</v>
      </c>
      <c r="G27" s="103"/>
      <c r="H27" s="104"/>
      <c r="I27" s="14"/>
    </row>
    <row r="28" spans="2:9" x14ac:dyDescent="0.25">
      <c r="B28" s="13"/>
      <c r="C28" s="18" t="s">
        <v>85</v>
      </c>
      <c r="D28" s="68">
        <v>4</v>
      </c>
      <c r="E28"/>
      <c r="F28" s="105" t="s">
        <v>190</v>
      </c>
      <c r="G28" s="105"/>
      <c r="H28" s="105"/>
      <c r="I28" s="14"/>
    </row>
    <row r="29" spans="2:9" x14ac:dyDescent="0.25">
      <c r="B29" s="13"/>
      <c r="C29" s="18" t="s">
        <v>86</v>
      </c>
      <c r="D29" s="68">
        <v>3</v>
      </c>
      <c r="E29"/>
      <c r="F29" s="105"/>
      <c r="G29" s="105"/>
      <c r="H29" s="105"/>
      <c r="I29" s="14"/>
    </row>
    <row r="30" spans="2:9" x14ac:dyDescent="0.25">
      <c r="B30" s="13"/>
      <c r="C30" s="18" t="s">
        <v>87</v>
      </c>
      <c r="D30" s="68">
        <v>2</v>
      </c>
      <c r="E30"/>
      <c r="F30" s="105"/>
      <c r="G30" s="105"/>
      <c r="H30" s="105"/>
      <c r="I30" s="14"/>
    </row>
    <row r="31" spans="2:9" x14ac:dyDescent="0.25">
      <c r="B31" s="13"/>
      <c r="C31" s="18" t="s">
        <v>88</v>
      </c>
      <c r="D31" s="68">
        <v>3</v>
      </c>
      <c r="E31"/>
      <c r="F31" s="105"/>
      <c r="G31" s="105"/>
      <c r="H31" s="105"/>
      <c r="I31" s="14"/>
    </row>
    <row r="32" spans="2:9" x14ac:dyDescent="0.25">
      <c r="B32" s="13"/>
      <c r="C32" s="18" t="s">
        <v>89</v>
      </c>
      <c r="D32" s="68">
        <v>0</v>
      </c>
      <c r="E32"/>
      <c r="F32" s="105"/>
      <c r="G32" s="105"/>
      <c r="H32" s="105"/>
      <c r="I32" s="14"/>
    </row>
    <row r="33" spans="2:9" x14ac:dyDescent="0.25">
      <c r="B33" s="13"/>
      <c r="E33"/>
      <c r="F33" s="105"/>
      <c r="G33" s="105"/>
      <c r="H33" s="105"/>
      <c r="I33" s="14"/>
    </row>
    <row r="34" spans="2:9" ht="15.75" thickBot="1" x14ac:dyDescent="0.3">
      <c r="B34" s="15"/>
      <c r="C34" s="16"/>
      <c r="D34" s="16"/>
      <c r="E34" s="16"/>
      <c r="F34" s="16"/>
      <c r="G34" s="16"/>
      <c r="H34" s="16"/>
      <c r="I34" s="17"/>
    </row>
  </sheetData>
  <sheetProtection algorithmName="SHA-512" hashValue="XBF41nNb+oM9W4bsjhJQYEs62RY6vNKkdxY+QBvLebA6UVCX8pT0VcHFlVGR/BBGTTD/NcRUs/vA7RtnYQti/A==" saltValue="pMXht+w1d5Ih1rsoRXgsFQ==" spinCount="100000" sheet="1" objects="1" scenarios="1"/>
  <mergeCells count="4">
    <mergeCell ref="F27:H27"/>
    <mergeCell ref="F28:H33"/>
    <mergeCell ref="C6:H6"/>
    <mergeCell ref="F25:H25"/>
  </mergeCells>
  <conditionalFormatting sqref="D8">
    <cfRule type="containsBlanks" dxfId="19" priority="11">
      <formula>LEN(TRIM(D8))=0</formula>
    </cfRule>
  </conditionalFormatting>
  <conditionalFormatting sqref="D11:D13">
    <cfRule type="containsBlanks" dxfId="18" priority="9">
      <formula>LEN(TRIM(D11))=0</formula>
    </cfRule>
  </conditionalFormatting>
  <conditionalFormatting sqref="D16:D17">
    <cfRule type="containsBlanks" dxfId="17" priority="8">
      <formula>LEN(TRIM(D16))=0</formula>
    </cfRule>
  </conditionalFormatting>
  <conditionalFormatting sqref="D21:D22">
    <cfRule type="containsBlanks" dxfId="16" priority="7">
      <formula>LEN(TRIM(D21))=0</formula>
    </cfRule>
  </conditionalFormatting>
  <conditionalFormatting sqref="D28:D32">
    <cfRule type="containsBlanks" dxfId="15" priority="6">
      <formula>LEN(TRIM(D28))=0</formula>
    </cfRule>
  </conditionalFormatting>
  <conditionalFormatting sqref="F28">
    <cfRule type="containsBlanks" dxfId="14" priority="1">
      <formula>LEN(TRIM(F28))=0</formula>
    </cfRule>
  </conditionalFormatting>
  <conditionalFormatting sqref="G9:G11">
    <cfRule type="containsBlanks" dxfId="13" priority="4">
      <formula>LEN(TRIM(G9))=0</formula>
    </cfRule>
  </conditionalFormatting>
  <conditionalFormatting sqref="G15:G18">
    <cfRule type="containsBlanks" dxfId="12" priority="3">
      <formula>LEN(TRIM(G15))=0</formula>
    </cfRule>
  </conditionalFormatting>
  <conditionalFormatting sqref="G21:H24">
    <cfRule type="containsBlanks" dxfId="11" priority="2">
      <formula>LEN(TRIM(G21))=0</formula>
    </cfRule>
  </conditionalFormatting>
  <dataValidations xWindow="523" yWindow="621" count="2">
    <dataValidation type="date" showInputMessage="1" showErrorMessage="1" errorTitle="FECHA INVALIDA" promptTitle="Fecha de Generacion del Reporte " prompt="Diligenciar la fecha de Generacion de este Reporte de Procesos Judiciales Formato (DD/MM/AAAA)" sqref="D8" xr:uid="{00000000-0002-0000-0300-000000000000}">
      <formula1>44580</formula1>
      <formula2>44642</formula2>
    </dataValidation>
    <dataValidation type="whole" operator="greaterThanOrEqual" showInputMessage="1" showErrorMessage="1" errorTitle="Numero Invalido" promptTitle="Ingrese la cantidad Solicitada" prompt="Ingrese la cantidad Solicitada" sqref="D11:D13 D16:D17 D21:D22 D28:D32 G9:G11 G15:G18 G21:H24" xr:uid="{00000000-0002-0000-0300-000001000000}">
      <formula1>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V23"/>
  <sheetViews>
    <sheetView showGridLines="0" topLeftCell="D1" workbookViewId="0">
      <selection activeCell="J17" sqref="J17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0.855468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  <c r="V2" s="1">
        <f>+D13+D14</f>
        <v>4</v>
      </c>
    </row>
    <row r="3" spans="2:22" x14ac:dyDescent="0.25">
      <c r="B3" s="13"/>
      <c r="H3" s="14"/>
      <c r="V3" s="25">
        <f>+IF(V2&lt;=20,V2,IF(ROUNDDOWN(V2*10%,0)&lt;20,20,ROUNDDOWN(V2*10%,0)))</f>
        <v>4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15" customHeight="1" x14ac:dyDescent="0.25">
      <c r="B6" s="13"/>
      <c r="G6" s="26"/>
      <c r="H6" s="27"/>
    </row>
    <row r="7" spans="2:22" ht="23.25" x14ac:dyDescent="0.25">
      <c r="B7" s="13"/>
      <c r="C7" s="106" t="s">
        <v>177</v>
      </c>
      <c r="D7" s="106"/>
      <c r="E7" s="106"/>
      <c r="F7" s="106"/>
      <c r="G7" s="106"/>
      <c r="H7" s="27"/>
    </row>
    <row r="8" spans="2:22" x14ac:dyDescent="0.25">
      <c r="B8" s="13"/>
      <c r="E8" s="74" t="s">
        <v>148</v>
      </c>
      <c r="H8" s="14"/>
      <c r="T8" s="1" t="s">
        <v>13</v>
      </c>
    </row>
    <row r="9" spans="2:22" ht="15" customHeight="1" x14ac:dyDescent="0.25">
      <c r="B9" s="13"/>
      <c r="C9" s="21" t="s">
        <v>178</v>
      </c>
      <c r="D9" s="21" t="s">
        <v>23</v>
      </c>
      <c r="E9"/>
      <c r="F9" s="89" t="str">
        <f>"Seleccione una muestra de "&amp;V3&amp;" prejudiciales activos registrados antes de 1 de julio de 2021 y complete la siguiente tabla"</f>
        <v>Seleccione una muestra de 4 prejudiciales activos registrados antes de 1 de julio de 2021 y complete la siguiente tabla</v>
      </c>
      <c r="G9" s="90"/>
      <c r="H9" s="14"/>
      <c r="T9" s="1" t="s">
        <v>14</v>
      </c>
    </row>
    <row r="10" spans="2:22" x14ac:dyDescent="0.25">
      <c r="B10" s="13"/>
      <c r="C10" s="18" t="s">
        <v>54</v>
      </c>
      <c r="D10" s="68">
        <v>48</v>
      </c>
      <c r="E10"/>
      <c r="F10" s="91"/>
      <c r="G10" s="92"/>
      <c r="H10" s="14"/>
    </row>
    <row r="11" spans="2:22" x14ac:dyDescent="0.25">
      <c r="B11" s="13"/>
      <c r="C11" s="18" t="s">
        <v>55</v>
      </c>
      <c r="D11" s="68">
        <v>14</v>
      </c>
      <c r="E11"/>
      <c r="F11" s="22" t="s">
        <v>32</v>
      </c>
      <c r="G11" s="22" t="s">
        <v>57</v>
      </c>
      <c r="H11" s="14"/>
    </row>
    <row r="12" spans="2:22" x14ac:dyDescent="0.25">
      <c r="B12" s="13"/>
      <c r="C12" s="18" t="s">
        <v>164</v>
      </c>
      <c r="D12" s="68">
        <v>3</v>
      </c>
      <c r="E12"/>
      <c r="F12" s="30" t="s">
        <v>58</v>
      </c>
      <c r="G12" s="68">
        <v>1</v>
      </c>
      <c r="H12" s="14"/>
    </row>
    <row r="13" spans="2:22" x14ac:dyDescent="0.25">
      <c r="B13" s="13"/>
      <c r="C13" s="18" t="s">
        <v>181</v>
      </c>
      <c r="D13" s="68">
        <v>3</v>
      </c>
      <c r="E13"/>
      <c r="F13" s="18" t="s">
        <v>180</v>
      </c>
      <c r="G13" s="68">
        <v>2</v>
      </c>
      <c r="H13" s="14"/>
    </row>
    <row r="14" spans="2:22" x14ac:dyDescent="0.25">
      <c r="B14" s="13"/>
      <c r="C14" s="18" t="s">
        <v>165</v>
      </c>
      <c r="D14" s="68">
        <v>1</v>
      </c>
      <c r="E14"/>
      <c r="F14"/>
      <c r="G14"/>
      <c r="H14" s="14"/>
    </row>
    <row r="15" spans="2:22" x14ac:dyDescent="0.25">
      <c r="B15" s="13"/>
      <c r="E15"/>
      <c r="F15"/>
      <c r="G15"/>
      <c r="H15" s="14"/>
    </row>
    <row r="16" spans="2:22" x14ac:dyDescent="0.25">
      <c r="B16" s="13"/>
      <c r="C16" s="21" t="s">
        <v>179</v>
      </c>
      <c r="D16" s="21" t="s">
        <v>23</v>
      </c>
      <c r="E16"/>
      <c r="F16" s="108" t="s">
        <v>92</v>
      </c>
      <c r="G16" s="108"/>
      <c r="H16" s="14"/>
    </row>
    <row r="17" spans="2:8" x14ac:dyDescent="0.25">
      <c r="B17" s="13"/>
      <c r="C17" s="18" t="s">
        <v>166</v>
      </c>
      <c r="D17" s="68">
        <v>41</v>
      </c>
      <c r="E17"/>
      <c r="F17" s="105" t="s">
        <v>191</v>
      </c>
      <c r="G17" s="105"/>
      <c r="H17" s="14"/>
    </row>
    <row r="18" spans="2:8" x14ac:dyDescent="0.25">
      <c r="B18" s="13"/>
      <c r="C18" s="18" t="s">
        <v>167</v>
      </c>
      <c r="D18" s="68">
        <v>13</v>
      </c>
      <c r="E18"/>
      <c r="F18" s="105"/>
      <c r="G18" s="105"/>
      <c r="H18" s="14"/>
    </row>
    <row r="19" spans="2:8" x14ac:dyDescent="0.25">
      <c r="B19" s="13"/>
      <c r="C19"/>
      <c r="D19"/>
      <c r="E19"/>
      <c r="F19" s="105"/>
      <c r="G19" s="105"/>
      <c r="H19" s="14"/>
    </row>
    <row r="20" spans="2:8" x14ac:dyDescent="0.25">
      <c r="B20" s="13"/>
      <c r="C20"/>
      <c r="D20"/>
      <c r="E20"/>
      <c r="F20" s="105"/>
      <c r="G20" s="105"/>
      <c r="H20" s="14"/>
    </row>
    <row r="21" spans="2:8" x14ac:dyDescent="0.25">
      <c r="B21" s="13"/>
      <c r="E21"/>
      <c r="F21" s="105"/>
      <c r="G21" s="105"/>
      <c r="H21" s="14"/>
    </row>
    <row r="22" spans="2:8" x14ac:dyDescent="0.25">
      <c r="B22" s="13"/>
      <c r="E22"/>
      <c r="F22" s="105"/>
      <c r="G22" s="105"/>
      <c r="H22" s="14"/>
    </row>
    <row r="23" spans="2:8" ht="15.75" thickBot="1" x14ac:dyDescent="0.3">
      <c r="B23" s="15"/>
      <c r="C23" s="16"/>
      <c r="D23" s="16"/>
      <c r="E23" s="16"/>
      <c r="F23" s="16"/>
      <c r="G23" s="16"/>
      <c r="H23" s="17"/>
    </row>
  </sheetData>
  <sheetProtection algorithmName="SHA-512" hashValue="RTxvkA/X6xl2+KfdbiHdJ6sbvecern8CNICPPfFAOQJxypM+eH9yXKnnLB3GHhoPJhALHrzKXVh8l3sCPJ2Idw==" saltValue="3APmjS7xF8RN9CH5Y9wtNw==" spinCount="100000" sheet="1" objects="1" scenarios="1"/>
  <mergeCells count="4">
    <mergeCell ref="F9:G10"/>
    <mergeCell ref="C7:G7"/>
    <mergeCell ref="F16:G16"/>
    <mergeCell ref="F17:G22"/>
  </mergeCells>
  <conditionalFormatting sqref="D10:D14">
    <cfRule type="containsBlanks" dxfId="10" priority="4">
      <formula>LEN(TRIM(D10))=0</formula>
    </cfRule>
  </conditionalFormatting>
  <conditionalFormatting sqref="D17:D18">
    <cfRule type="containsBlanks" dxfId="9" priority="3">
      <formula>LEN(TRIM(D17))=0</formula>
    </cfRule>
  </conditionalFormatting>
  <conditionalFormatting sqref="F17">
    <cfRule type="containsBlanks" dxfId="8" priority="1">
      <formula>LEN(TRIM(F17))=0</formula>
    </cfRule>
  </conditionalFormatting>
  <conditionalFormatting sqref="G12:G13">
    <cfRule type="containsBlanks" dxfId="7" priority="2">
      <formula>LEN(TRIM(G12))=0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10:D14 D17:D18 G12:G13" xr:uid="{00000000-0002-0000-0400-000000000000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V17"/>
  <sheetViews>
    <sheetView showGridLines="0" workbookViewId="0">
      <selection activeCell="F21" sqref="F2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+IF(D10&lt;=10,D10,IF(ROUNDDOWN(D10*10%,0)&gt;10,10,ROUNDDOWN(D10*10%,0)))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36.75" customHeight="1" x14ac:dyDescent="0.35">
      <c r="B6" s="13"/>
      <c r="C6" s="28" t="s">
        <v>70</v>
      </c>
      <c r="D6" s="29"/>
      <c r="E6" s="24"/>
      <c r="F6"/>
      <c r="G6"/>
      <c r="H6" s="27"/>
    </row>
    <row r="7" spans="2:22" x14ac:dyDescent="0.25">
      <c r="B7" s="13"/>
      <c r="C7" s="1" t="s">
        <v>148</v>
      </c>
      <c r="F7"/>
      <c r="G7"/>
      <c r="H7" s="14"/>
      <c r="T7" s="1" t="s">
        <v>13</v>
      </c>
    </row>
    <row r="8" spans="2:22" x14ac:dyDescent="0.25">
      <c r="B8" s="13"/>
      <c r="C8" s="21" t="s">
        <v>70</v>
      </c>
      <c r="D8" s="21" t="s">
        <v>23</v>
      </c>
      <c r="E8"/>
      <c r="F8" s="21" t="s">
        <v>70</v>
      </c>
      <c r="G8" s="21" t="s">
        <v>23</v>
      </c>
      <c r="H8" s="14"/>
      <c r="T8" s="1" t="s">
        <v>14</v>
      </c>
    </row>
    <row r="9" spans="2:22" x14ac:dyDescent="0.25">
      <c r="B9" s="13"/>
      <c r="C9" s="18" t="s">
        <v>168</v>
      </c>
      <c r="D9" s="68">
        <v>0</v>
      </c>
      <c r="E9"/>
      <c r="F9" s="18" t="s">
        <v>169</v>
      </c>
      <c r="G9" s="68">
        <v>0</v>
      </c>
      <c r="H9" s="14"/>
    </row>
    <row r="10" spans="2:22" x14ac:dyDescent="0.25">
      <c r="B10" s="13"/>
      <c r="C10" s="18" t="s">
        <v>72</v>
      </c>
      <c r="D10" s="68">
        <v>0</v>
      </c>
      <c r="E10"/>
      <c r="F10" s="18" t="s">
        <v>90</v>
      </c>
      <c r="G10" s="68">
        <v>0</v>
      </c>
      <c r="H10" s="14"/>
    </row>
    <row r="11" spans="2:22" x14ac:dyDescent="0.25">
      <c r="B11" s="13"/>
      <c r="D11" s="47"/>
      <c r="E11"/>
      <c r="G11" s="48"/>
      <c r="H11" s="14"/>
    </row>
    <row r="12" spans="2:22" x14ac:dyDescent="0.25">
      <c r="B12" s="13"/>
      <c r="C12" s="49" t="s">
        <v>94</v>
      </c>
      <c r="D12" s="47"/>
      <c r="E12"/>
      <c r="G12" s="48"/>
      <c r="H12" s="14"/>
      <c r="T12" s="1">
        <f>IF(D9="",0,1)</f>
        <v>1</v>
      </c>
    </row>
    <row r="13" spans="2:22" x14ac:dyDescent="0.25">
      <c r="B13" s="13"/>
      <c r="C13" s="93" t="s">
        <v>192</v>
      </c>
      <c r="D13" s="94"/>
      <c r="E13" s="94"/>
      <c r="F13" s="94"/>
      <c r="G13" s="95"/>
      <c r="H13" s="14"/>
    </row>
    <row r="14" spans="2:22" x14ac:dyDescent="0.25">
      <c r="B14" s="13"/>
      <c r="C14" s="96"/>
      <c r="D14" s="97"/>
      <c r="E14" s="97"/>
      <c r="F14" s="97"/>
      <c r="G14" s="98"/>
      <c r="H14" s="14"/>
    </row>
    <row r="15" spans="2:22" x14ac:dyDescent="0.25">
      <c r="B15" s="13"/>
      <c r="C15" s="96"/>
      <c r="D15" s="97"/>
      <c r="E15" s="97"/>
      <c r="F15" s="97"/>
      <c r="G15" s="98"/>
      <c r="H15" s="14"/>
    </row>
    <row r="16" spans="2:22" x14ac:dyDescent="0.25">
      <c r="B16" s="13"/>
      <c r="C16" s="99"/>
      <c r="D16" s="100"/>
      <c r="E16" s="100"/>
      <c r="F16" s="100"/>
      <c r="G16" s="101"/>
      <c r="H16" s="14"/>
      <c r="T16" s="1">
        <f>IF(G9="",0,1)</f>
        <v>1</v>
      </c>
    </row>
    <row r="17" spans="2:20" ht="15.75" thickBot="1" x14ac:dyDescent="0.3">
      <c r="B17" s="15"/>
      <c r="C17" s="16"/>
      <c r="D17" s="16"/>
      <c r="E17" s="16"/>
      <c r="F17" s="16"/>
      <c r="G17" s="16"/>
      <c r="H17" s="17"/>
      <c r="T17" s="1">
        <f>+T12+T16</f>
        <v>2</v>
      </c>
    </row>
  </sheetData>
  <sheetProtection algorithmName="SHA-512" hashValue="6ZcsWdIGr0G8GN+aSGf97CECkSNgVAzqC6t9ixF98PlLneYYyrSdMnHt56kYG6UzNYLxxm5cHQZZfeu+4m80kQ==" saltValue="3tqLDwW1B4WLnP5vNc8k0w==" spinCount="100000" sheet="1"/>
  <mergeCells count="1">
    <mergeCell ref="C13:G16"/>
  </mergeCells>
  <conditionalFormatting sqref="C13">
    <cfRule type="containsBlanks" dxfId="6" priority="3">
      <formula>LEN(TRIM(C13))=0</formula>
    </cfRule>
  </conditionalFormatting>
  <conditionalFormatting sqref="D9:D10">
    <cfRule type="containsBlanks" dxfId="5" priority="2">
      <formula>LEN(TRIM(D9))=0</formula>
    </cfRule>
  </conditionalFormatting>
  <conditionalFormatting sqref="G9:G10">
    <cfRule type="containsBlanks" dxfId="4" priority="1">
      <formula>LEN(TRIM(G9))=0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9:D10 G9:G10" xr:uid="{00000000-0002-0000-0500-000000000000}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V11"/>
  <sheetViews>
    <sheetView showGridLines="0" workbookViewId="0">
      <selection activeCell="D20" sqref="D20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+IF(D10&lt;=10,D10,IF(ROUNDDOWN(D10*10%,0)&gt;10,10,ROUNDDOWN(D10*10%,0)))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21.75" customHeight="1" x14ac:dyDescent="0.35">
      <c r="B6" s="13"/>
      <c r="C6" s="106" t="s">
        <v>8</v>
      </c>
      <c r="D6" s="106"/>
      <c r="E6" s="24"/>
      <c r="F6"/>
      <c r="G6"/>
      <c r="H6" s="27"/>
      <c r="T6" s="1" t="s">
        <v>12</v>
      </c>
    </row>
    <row r="7" spans="2:22" x14ac:dyDescent="0.25">
      <c r="B7" s="13"/>
      <c r="C7" s="1" t="s">
        <v>148</v>
      </c>
      <c r="F7" s="50" t="s">
        <v>94</v>
      </c>
      <c r="G7"/>
      <c r="H7" s="14"/>
      <c r="T7" s="1" t="s">
        <v>13</v>
      </c>
    </row>
    <row r="8" spans="2:22" x14ac:dyDescent="0.25">
      <c r="B8" s="13"/>
      <c r="C8" s="21" t="s">
        <v>31</v>
      </c>
      <c r="D8" s="21" t="s">
        <v>23</v>
      </c>
      <c r="E8"/>
      <c r="F8" s="93" t="s">
        <v>193</v>
      </c>
      <c r="G8" s="95"/>
      <c r="H8" s="14"/>
      <c r="T8" s="1" t="s">
        <v>14</v>
      </c>
    </row>
    <row r="9" spans="2:22" x14ac:dyDescent="0.25">
      <c r="B9" s="13"/>
      <c r="C9" s="18" t="s">
        <v>74</v>
      </c>
      <c r="D9" s="68" t="s">
        <v>186</v>
      </c>
      <c r="E9"/>
      <c r="F9" s="96"/>
      <c r="G9" s="98"/>
      <c r="H9" s="14"/>
    </row>
    <row r="10" spans="2:22" x14ac:dyDescent="0.25">
      <c r="B10" s="13"/>
      <c r="C10" s="18" t="s">
        <v>173</v>
      </c>
      <c r="D10" s="68">
        <v>0</v>
      </c>
      <c r="E10"/>
      <c r="F10" s="99"/>
      <c r="G10" s="101"/>
      <c r="H10" s="14"/>
    </row>
    <row r="11" spans="2:22" ht="15.75" thickBot="1" x14ac:dyDescent="0.3">
      <c r="B11" s="15"/>
      <c r="C11" s="16"/>
      <c r="D11" s="16"/>
      <c r="E11" s="16"/>
      <c r="F11" s="16"/>
      <c r="G11" s="16"/>
      <c r="H11" s="17"/>
    </row>
  </sheetData>
  <sheetProtection algorithmName="SHA-512" hashValue="f23xZ8ZGez4/ugrRSeNHNSFC5P6zK3PlnV1v5jm/nMY208v20MkKx1TkUjozEjkoZyWA5UKJDdR01qKLB0dGmA==" saltValue="OkVslLPAPPXMYR5Z1l05zA==" spinCount="100000" sheet="1"/>
  <mergeCells count="2">
    <mergeCell ref="C6:D6"/>
    <mergeCell ref="F8:G10"/>
  </mergeCells>
  <conditionalFormatting sqref="D9:D10">
    <cfRule type="containsBlanks" dxfId="3" priority="2">
      <formula>LEN(TRIM(D9))=0</formula>
    </cfRule>
  </conditionalFormatting>
  <conditionalFormatting sqref="F8">
    <cfRule type="containsBlanks" dxfId="2" priority="1">
      <formula>LEN(TRIM(F8))=0</formula>
    </cfRule>
  </conditionalFormatting>
  <dataValidations count="2">
    <dataValidation type="list" showInputMessage="1" showErrorMessage="1" promptTitle="Gestiona o No Pagos" prompt="Indique si su entidad Gestiona o No pagos o reliza Informes a traves de SIIF" sqref="D9" xr:uid="{00000000-0002-0000-0600-000000000000}">
      <formula1>$T$6:$T$7</formula1>
    </dataValidation>
    <dataValidation type="whole" operator="greaterThanOrEqual" showInputMessage="1" showErrorMessage="1" errorTitle="Numero Invalido" promptTitle="Ingrese la cantidad Solicitada" prompt="Ingrese la cantidad Solicitada" sqref="D10" xr:uid="{00000000-0002-0000-0600-000001000000}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M26"/>
  <sheetViews>
    <sheetView showGridLines="0" tabSelected="1" workbookViewId="0">
      <selection activeCell="H20" sqref="H20"/>
    </sheetView>
  </sheetViews>
  <sheetFormatPr baseColWidth="10" defaultRowHeight="15" x14ac:dyDescent="0.25"/>
  <cols>
    <col min="2" max="2" width="42.7109375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10" t="s">
        <v>10</v>
      </c>
      <c r="C2" s="110"/>
      <c r="D2" s="110"/>
      <c r="E2" s="110"/>
      <c r="F2" s="110"/>
      <c r="G2" s="110"/>
      <c r="H2" s="39"/>
      <c r="I2" s="39"/>
      <c r="J2" s="39"/>
      <c r="K2" s="39"/>
      <c r="L2" s="39"/>
      <c r="M2" s="40"/>
    </row>
    <row r="3" spans="2:13" ht="18.75" x14ac:dyDescent="0.3">
      <c r="B3" s="110" t="s">
        <v>11</v>
      </c>
      <c r="C3" s="110"/>
      <c r="D3" s="110"/>
      <c r="E3" s="110"/>
      <c r="F3" s="110"/>
      <c r="G3" s="110"/>
      <c r="H3" s="39"/>
      <c r="I3" s="39"/>
      <c r="J3" s="39"/>
      <c r="K3" s="39"/>
      <c r="L3" s="39"/>
      <c r="M3" s="40"/>
    </row>
    <row r="4" spans="2:13" ht="23.25" x14ac:dyDescent="0.35">
      <c r="B4" s="35"/>
      <c r="C4" s="75"/>
      <c r="D4" s="75" t="s">
        <v>172</v>
      </c>
      <c r="E4" s="35"/>
      <c r="F4" s="35"/>
      <c r="G4" s="35"/>
      <c r="H4" s="35"/>
      <c r="I4" s="35"/>
      <c r="J4" s="35"/>
      <c r="K4" s="35"/>
      <c r="L4" s="35"/>
      <c r="M4" s="35"/>
    </row>
    <row r="5" spans="2:13" ht="15.75" thickBot="1" x14ac:dyDescent="0.3">
      <c r="B5" t="s">
        <v>170</v>
      </c>
      <c r="C5" s="109" t="s">
        <v>187</v>
      </c>
      <c r="D5" s="109"/>
      <c r="E5" s="109"/>
      <c r="F5" s="109"/>
      <c r="G5" s="109"/>
    </row>
    <row r="6" spans="2:13" ht="15.75" thickBot="1" x14ac:dyDescent="0.3">
      <c r="B6" t="s">
        <v>171</v>
      </c>
      <c r="C6" s="109" t="s">
        <v>188</v>
      </c>
      <c r="D6" s="109"/>
      <c r="E6" s="109"/>
      <c r="F6" s="109"/>
      <c r="G6" s="109"/>
    </row>
    <row r="8" spans="2:13" x14ac:dyDescent="0.25">
      <c r="B8" t="s">
        <v>38</v>
      </c>
      <c r="C8" s="38" t="str">
        <f>+IF(SUM(USUARIOS!I12:J17)=0,"Falta diligenciar","")</f>
        <v/>
      </c>
      <c r="E8" t="s">
        <v>77</v>
      </c>
      <c r="F8" s="38" t="str">
        <f>+IF(PREJUDICIALES!$D$10="","Falta  actualizar","")</f>
        <v/>
      </c>
    </row>
    <row r="9" spans="2:13" x14ac:dyDescent="0.25">
      <c r="B9" s="37" t="s">
        <v>41</v>
      </c>
      <c r="C9" s="73">
        <f>+SUM(USUARIOS!I12:I17)/(6-SUM(USUARIOS!H12:H17))</f>
        <v>0.83333333333333337</v>
      </c>
      <c r="E9" s="37" t="s">
        <v>46</v>
      </c>
      <c r="F9" s="72">
        <f>+PREJUDICIALES!$D$11</f>
        <v>14</v>
      </c>
    </row>
    <row r="10" spans="2:13" x14ac:dyDescent="0.25">
      <c r="B10" s="37" t="s">
        <v>39</v>
      </c>
      <c r="C10" s="72">
        <f>+ABOGADOS!$D$12+SUM(USUARIOS!I12:I17)</f>
        <v>20</v>
      </c>
      <c r="E10" s="37" t="s">
        <v>44</v>
      </c>
      <c r="F10" s="73">
        <f>IFERROR(PREJUDICIALES!$D$11/PREJUDICIALES!$D$10,"")</f>
        <v>0.29166666666666669</v>
      </c>
    </row>
    <row r="11" spans="2:13" x14ac:dyDescent="0.25">
      <c r="B11" s="37" t="s">
        <v>9</v>
      </c>
      <c r="C11" s="72" t="s">
        <v>108</v>
      </c>
      <c r="E11" s="37" t="s">
        <v>47</v>
      </c>
      <c r="F11" s="73">
        <f>IFERROR(PREJUDICIALES!$G$13/PREJUDICIALES!$V$3,"")</f>
        <v>0.5</v>
      </c>
    </row>
    <row r="12" spans="2:13" x14ac:dyDescent="0.25">
      <c r="B12" s="37" t="s">
        <v>40</v>
      </c>
      <c r="C12" s="73">
        <f>IFERROR((ABOGADOS!$G$17+ABOGADOS!$G$18+ABOGADOS!$G$19*0.5)/ABOGADOS!D12,"")</f>
        <v>0.73333333333333328</v>
      </c>
    </row>
    <row r="13" spans="2:13" x14ac:dyDescent="0.25">
      <c r="E13" t="s">
        <v>70</v>
      </c>
      <c r="F13" s="38" t="str">
        <f>+IF(ARBITRAMENTOS!T17=0,"Falta  actualizar","")</f>
        <v/>
      </c>
    </row>
    <row r="14" spans="2:13" x14ac:dyDescent="0.25">
      <c r="B14" t="s">
        <v>76</v>
      </c>
      <c r="C14" s="38" t="str">
        <f>+IF(JUDICIALES!$D$11="","Falta  actualizar","")</f>
        <v/>
      </c>
      <c r="E14" s="37" t="s">
        <v>45</v>
      </c>
      <c r="F14" s="72">
        <f>+ARBITRAMENTOS!D10</f>
        <v>0</v>
      </c>
    </row>
    <row r="15" spans="2:13" x14ac:dyDescent="0.25">
      <c r="B15" s="37" t="s">
        <v>42</v>
      </c>
      <c r="C15" s="72">
        <f>+JUDICIALES!$D$12</f>
        <v>406</v>
      </c>
      <c r="E15" s="37" t="s">
        <v>44</v>
      </c>
      <c r="F15" s="73" t="str">
        <f>IFERROR(ARBITRAMENTOS!D10/ARBITRAMENTOS!D9,"")</f>
        <v/>
      </c>
    </row>
    <row r="16" spans="2:13" x14ac:dyDescent="0.25">
      <c r="B16" s="37" t="s">
        <v>44</v>
      </c>
      <c r="C16" s="73">
        <f>IFERROR(JUDICIALES!$D$12/JUDICIALES!$D$11,"")</f>
        <v>0.99266503667481665</v>
      </c>
    </row>
    <row r="17" spans="2:6" x14ac:dyDescent="0.25">
      <c r="B17" s="37" t="s">
        <v>50</v>
      </c>
      <c r="C17" s="73" t="str">
        <f>IFERROR(JUDICIALES!$G$11/JUDICIALES!$G$10,"")</f>
        <v/>
      </c>
      <c r="E17" t="s">
        <v>73</v>
      </c>
      <c r="F17" s="38" t="str">
        <f>+IF(PAGOS!D9="","Falta  actualizar","")</f>
        <v/>
      </c>
    </row>
    <row r="18" spans="2:6" x14ac:dyDescent="0.25">
      <c r="B18" s="37" t="s">
        <v>43</v>
      </c>
      <c r="C18" s="72">
        <f>IFERROR(C15/ABOGADOS!$D$12,"")</f>
        <v>27.066666666666666</v>
      </c>
      <c r="E18" s="37" t="s">
        <v>48</v>
      </c>
      <c r="F18" s="72">
        <f>+PAGOS!D10</f>
        <v>0</v>
      </c>
    </row>
    <row r="19" spans="2:6" x14ac:dyDescent="0.25">
      <c r="B19" s="37" t="s">
        <v>75</v>
      </c>
      <c r="C19" s="73">
        <f>IFERROR(1-(JUDICIALES!$H$22+JUDICIALES!$H$23+JUDICIALES!$H$24)/(JUDICIALES!$G$22+JUDICIALES!$G$23+JUDICIALES!$G$24),"")</f>
        <v>0.22142857142857142</v>
      </c>
      <c r="E19" s="37" t="s">
        <v>49</v>
      </c>
      <c r="F19" s="72" t="str">
        <f>+IF(PAGOS!D9="No","No aplica","si")</f>
        <v>si</v>
      </c>
    </row>
    <row r="21" spans="2:6" ht="15.75" thickBot="1" x14ac:dyDescent="0.3"/>
    <row r="22" spans="2:6" x14ac:dyDescent="0.25">
      <c r="B22" s="2" t="s">
        <v>94</v>
      </c>
      <c r="C22" s="3"/>
      <c r="D22" s="3"/>
      <c r="E22" s="3"/>
      <c r="F22" s="4"/>
    </row>
    <row r="23" spans="2:6" x14ac:dyDescent="0.25">
      <c r="B23" s="93" t="s">
        <v>194</v>
      </c>
      <c r="C23" s="94"/>
      <c r="D23" s="94"/>
      <c r="E23" s="94"/>
      <c r="F23" s="95"/>
    </row>
    <row r="24" spans="2:6" x14ac:dyDescent="0.25">
      <c r="B24" s="96"/>
      <c r="C24" s="97"/>
      <c r="D24" s="97"/>
      <c r="E24" s="97"/>
      <c r="F24" s="98"/>
    </row>
    <row r="25" spans="2:6" x14ac:dyDescent="0.25">
      <c r="B25" s="96"/>
      <c r="C25" s="97"/>
      <c r="D25" s="97"/>
      <c r="E25" s="97"/>
      <c r="F25" s="98"/>
    </row>
    <row r="26" spans="2:6" x14ac:dyDescent="0.25">
      <c r="B26" s="99"/>
      <c r="C26" s="100"/>
      <c r="D26" s="100"/>
      <c r="E26" s="100"/>
      <c r="F26" s="101"/>
    </row>
  </sheetData>
  <sheetProtection algorithmName="SHA-512" hashValue="xLp+iVXktoCHjSyisMzeUqB3TFHZ3ECZVWfGHLrfjAZjidIlu5D3CLoewvx3qakIhGiDVMcS9XCeM/RFc9I93g==" saltValue="sgud4LPzkaR+TgKL0MQL3A==" spinCount="100000" sheet="1" objects="1" scenarios="1"/>
  <mergeCells count="5">
    <mergeCell ref="C5:G5"/>
    <mergeCell ref="C6:G6"/>
    <mergeCell ref="B2:G2"/>
    <mergeCell ref="B3:G3"/>
    <mergeCell ref="B23:F26"/>
  </mergeCells>
  <conditionalFormatting sqref="B23">
    <cfRule type="containsBlanks" dxfId="1" priority="3">
      <formula>LEN(TRIM(B23))=0</formula>
    </cfRule>
  </conditionalFormatting>
  <conditionalFormatting sqref="C5:C6">
    <cfRule type="containsBlanks" dxfId="0" priority="1">
      <formula>LEN(TRIM(C5))=0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2:BO18"/>
  <sheetViews>
    <sheetView topLeftCell="AW1" zoomScaleNormal="100" workbookViewId="0">
      <selection activeCell="BI3" sqref="BI3"/>
    </sheetView>
  </sheetViews>
  <sheetFormatPr baseColWidth="10" defaultColWidth="10.7109375" defaultRowHeight="15" x14ac:dyDescent="0.25"/>
  <cols>
    <col min="1" max="1" width="34.5703125" style="60" customWidth="1"/>
    <col min="2" max="2" width="29.5703125" style="60" customWidth="1"/>
    <col min="3" max="16384" width="10.7109375" style="60"/>
  </cols>
  <sheetData>
    <row r="2" spans="1:67" x14ac:dyDescent="0.25">
      <c r="A2" s="63" t="s">
        <v>37</v>
      </c>
      <c r="B2" s="63" t="s">
        <v>112</v>
      </c>
      <c r="C2" s="63" t="s">
        <v>21</v>
      </c>
      <c r="D2" s="63" t="s">
        <v>22</v>
      </c>
      <c r="E2" s="63" t="s">
        <v>26</v>
      </c>
      <c r="F2" s="63" t="s">
        <v>20</v>
      </c>
      <c r="G2" s="63" t="s">
        <v>101</v>
      </c>
      <c r="H2" s="63" t="s">
        <v>102</v>
      </c>
      <c r="I2" s="64" t="s">
        <v>114</v>
      </c>
      <c r="J2" s="64" t="s">
        <v>115</v>
      </c>
      <c r="K2" s="64" t="s">
        <v>116</v>
      </c>
      <c r="L2" s="64" t="s">
        <v>117</v>
      </c>
      <c r="M2" s="64" t="s">
        <v>118</v>
      </c>
      <c r="N2" s="64" t="s">
        <v>119</v>
      </c>
      <c r="O2" s="64" t="s">
        <v>120</v>
      </c>
      <c r="P2" s="63" t="s">
        <v>28</v>
      </c>
      <c r="Q2" s="63" t="s">
        <v>29</v>
      </c>
      <c r="R2" s="63" t="s">
        <v>30</v>
      </c>
      <c r="S2" s="63" t="s">
        <v>121</v>
      </c>
      <c r="T2" s="63" t="s">
        <v>122</v>
      </c>
      <c r="U2" s="63" t="s">
        <v>36</v>
      </c>
      <c r="V2" s="63" t="s">
        <v>123</v>
      </c>
      <c r="W2" s="63" t="s">
        <v>85</v>
      </c>
      <c r="X2" s="63" t="s">
        <v>86</v>
      </c>
      <c r="Y2" s="63" t="s">
        <v>87</v>
      </c>
      <c r="Z2" s="63" t="s">
        <v>88</v>
      </c>
      <c r="AA2" s="63" t="s">
        <v>89</v>
      </c>
      <c r="AB2" s="64" t="s">
        <v>124</v>
      </c>
      <c r="AC2" s="64" t="s">
        <v>125</v>
      </c>
      <c r="AD2" s="64" t="s">
        <v>126</v>
      </c>
      <c r="AE2" s="63" t="s">
        <v>34</v>
      </c>
      <c r="AF2" s="63" t="s">
        <v>61</v>
      </c>
      <c r="AG2" s="63" t="s">
        <v>62</v>
      </c>
      <c r="AH2" s="63" t="s">
        <v>35</v>
      </c>
      <c r="AI2" s="63" t="s">
        <v>127</v>
      </c>
      <c r="AJ2" s="63" t="s">
        <v>128</v>
      </c>
      <c r="AK2" s="63" t="s">
        <v>129</v>
      </c>
      <c r="AL2" s="63" t="s">
        <v>130</v>
      </c>
      <c r="AM2" s="63" t="s">
        <v>131</v>
      </c>
      <c r="AN2" s="63" t="s">
        <v>132</v>
      </c>
      <c r="AO2" s="63" t="s">
        <v>133</v>
      </c>
      <c r="AP2" s="63" t="s">
        <v>134</v>
      </c>
      <c r="AQ2" s="65" t="s">
        <v>54</v>
      </c>
      <c r="AR2" s="65" t="s">
        <v>55</v>
      </c>
      <c r="AS2" s="65" t="s">
        <v>51</v>
      </c>
      <c r="AT2" s="65" t="s">
        <v>52</v>
      </c>
      <c r="AU2" s="65" t="s">
        <v>53</v>
      </c>
      <c r="AV2" s="65" t="s">
        <v>56</v>
      </c>
      <c r="AW2" s="65" t="s">
        <v>69</v>
      </c>
      <c r="AX2" s="65" t="s">
        <v>58</v>
      </c>
      <c r="AY2" s="65" t="s">
        <v>59</v>
      </c>
      <c r="AZ2" s="65" t="s">
        <v>71</v>
      </c>
      <c r="BA2" s="65" t="s">
        <v>72</v>
      </c>
      <c r="BB2" s="66" t="s">
        <v>135</v>
      </c>
      <c r="BC2" s="66" t="s">
        <v>90</v>
      </c>
      <c r="BD2" s="67" t="s">
        <v>136</v>
      </c>
      <c r="BE2" s="67" t="s">
        <v>137</v>
      </c>
      <c r="BF2" s="67" t="s">
        <v>138</v>
      </c>
      <c r="BG2" s="67" t="s">
        <v>139</v>
      </c>
      <c r="BH2" s="67" t="s">
        <v>140</v>
      </c>
      <c r="BI2" s="67" t="s">
        <v>141</v>
      </c>
      <c r="BJ2" s="67" t="s">
        <v>142</v>
      </c>
      <c r="BK2" s="67" t="s">
        <v>143</v>
      </c>
      <c r="BL2" s="67" t="s">
        <v>144</v>
      </c>
      <c r="BM2" s="67" t="s">
        <v>145</v>
      </c>
      <c r="BN2" s="67" t="s">
        <v>146</v>
      </c>
      <c r="BO2" s="67" t="s">
        <v>147</v>
      </c>
    </row>
    <row r="3" spans="1:67" x14ac:dyDescent="0.25">
      <c r="A3" s="60" t="str">
        <f>'Resumen General'!C5</f>
        <v>INSTITUTO NACIONAL DE VIGILANCIA DE MEDICAMENTOS Y ALIMENTOS -INVIMA</v>
      </c>
      <c r="B3" s="60" t="str">
        <f>'Resumen General'!C6</f>
        <v>NORMA CONSTANZA GARCÍA RAMIREZ</v>
      </c>
      <c r="C3" s="60">
        <f>+ABOGADOS!D11</f>
        <v>10</v>
      </c>
      <c r="D3" s="60">
        <f>+ABOGADOS!D12</f>
        <v>15</v>
      </c>
      <c r="E3" s="60">
        <f>+ABOGADOS!D13</f>
        <v>15</v>
      </c>
      <c r="F3" s="60">
        <f>+ABOGADOS!D14</f>
        <v>0</v>
      </c>
      <c r="G3" s="60">
        <f>+ABOGADOS!D17</f>
        <v>0</v>
      </c>
      <c r="H3" s="60">
        <f>+ABOGADOS!D18</f>
        <v>0</v>
      </c>
      <c r="I3" s="60">
        <f>+ABOGADOS!G10</f>
        <v>8</v>
      </c>
      <c r="J3" s="60">
        <f>+ABOGADOS!G11</f>
        <v>8</v>
      </c>
      <c r="K3" s="60">
        <f>+ABOGADOS!G12</f>
        <v>8</v>
      </c>
      <c r="L3" s="60">
        <f>+ABOGADOS!G17</f>
        <v>6</v>
      </c>
      <c r="M3" s="60">
        <f>+ABOGADOS!G18</f>
        <v>5</v>
      </c>
      <c r="N3" s="60">
        <f>+ABOGADOS!G19</f>
        <v>0</v>
      </c>
      <c r="O3" s="60">
        <f>+ABOGADOS!G21</f>
        <v>0</v>
      </c>
      <c r="P3" s="60">
        <f>+JUDICIALES!D11</f>
        <v>409</v>
      </c>
      <c r="Q3" s="60">
        <f>+JUDICIALES!D12</f>
        <v>406</v>
      </c>
      <c r="R3" s="60">
        <f>+JUDICIALES!D13</f>
        <v>3</v>
      </c>
      <c r="S3" s="60">
        <f>+JUDICIALES!D16</f>
        <v>19</v>
      </c>
      <c r="T3" s="60">
        <f>+JUDICIALES!D17</f>
        <v>4</v>
      </c>
      <c r="U3" s="60">
        <f>+JUDICIALES!D21</f>
        <v>322</v>
      </c>
      <c r="V3" s="60">
        <f>+JUDICIALES!D22</f>
        <v>68</v>
      </c>
      <c r="W3" s="60">
        <f>JUDICIALES!D28</f>
        <v>4</v>
      </c>
      <c r="X3" s="60">
        <f>JUDICIALES!D29</f>
        <v>3</v>
      </c>
      <c r="Y3" s="60">
        <f>JUDICIALES!D30</f>
        <v>2</v>
      </c>
      <c r="Z3" s="60">
        <f>JUDICIALES!D31</f>
        <v>3</v>
      </c>
      <c r="AA3" s="60">
        <f>JUDICIALES!D32</f>
        <v>0</v>
      </c>
      <c r="AB3" s="60">
        <f>+JUDICIALES!G9</f>
        <v>0</v>
      </c>
      <c r="AC3" s="60">
        <f>+JUDICIALES!G10</f>
        <v>0</v>
      </c>
      <c r="AD3" s="60">
        <f>+JUDICIALES!G11</f>
        <v>0</v>
      </c>
      <c r="AE3" s="60">
        <f>+JUDICIALES!G15</f>
        <v>405</v>
      </c>
      <c r="AF3" s="60">
        <f>+JUDICIALES!G16</f>
        <v>30</v>
      </c>
      <c r="AG3" s="60">
        <f>+JUDICIALES!G17</f>
        <v>277</v>
      </c>
      <c r="AH3" s="60">
        <f>+JUDICIALES!G18</f>
        <v>41</v>
      </c>
      <c r="AI3" s="60">
        <f>+JUDICIALES!G21</f>
        <v>29</v>
      </c>
      <c r="AJ3" s="60">
        <f>+JUDICIALES!G22</f>
        <v>202</v>
      </c>
      <c r="AK3" s="60">
        <f>+JUDICIALES!G23</f>
        <v>56</v>
      </c>
      <c r="AL3" s="60">
        <f>+JUDICIALES!G24</f>
        <v>22</v>
      </c>
      <c r="AM3" s="60">
        <f>+JUDICIALES!H21</f>
        <v>19</v>
      </c>
      <c r="AN3" s="60">
        <f>+JUDICIALES!H22</f>
        <v>160</v>
      </c>
      <c r="AO3" s="60">
        <f>+JUDICIALES!H23</f>
        <v>41</v>
      </c>
      <c r="AP3" s="60">
        <f>+JUDICIALES!H24</f>
        <v>17</v>
      </c>
      <c r="AQ3" s="60">
        <f>+PREJUDICIALES!D10</f>
        <v>48</v>
      </c>
      <c r="AR3" s="60">
        <f>+PREJUDICIALES!D11</f>
        <v>14</v>
      </c>
      <c r="AS3" s="60">
        <f>+PREJUDICIALES!D12</f>
        <v>3</v>
      </c>
      <c r="AT3" s="60">
        <f>+PREJUDICIALES!D13</f>
        <v>3</v>
      </c>
      <c r="AU3" s="60">
        <f>+PREJUDICIALES!D14</f>
        <v>1</v>
      </c>
      <c r="AV3" s="60">
        <f>+PREJUDICIALES!D17</f>
        <v>41</v>
      </c>
      <c r="AW3" s="60">
        <f>+PREJUDICIALES!D18</f>
        <v>13</v>
      </c>
      <c r="AX3" s="60">
        <f>+PREJUDICIALES!G12</f>
        <v>1</v>
      </c>
      <c r="AY3" s="60">
        <f>+PREJUDICIALES!G13</f>
        <v>2</v>
      </c>
      <c r="AZ3" s="60">
        <f>+ARBITRAMENTOS!D9</f>
        <v>0</v>
      </c>
      <c r="BA3" s="60">
        <f>+ARBITRAMENTOS!D10</f>
        <v>0</v>
      </c>
      <c r="BB3" s="60">
        <f>ARBITRAMENTOS!G9</f>
        <v>0</v>
      </c>
      <c r="BC3" s="60">
        <f>ARBITRAMENTOS!G10</f>
        <v>0</v>
      </c>
      <c r="BD3" s="60" t="str">
        <f>+PAGOS!D9</f>
        <v>si</v>
      </c>
      <c r="BE3" s="60">
        <f>+PAGOS!D10</f>
        <v>0</v>
      </c>
      <c r="BF3" s="61">
        <f>USUARIOS!D9</f>
        <v>44636</v>
      </c>
      <c r="BG3" s="61">
        <f>ABOGADOS!D7</f>
        <v>44636</v>
      </c>
      <c r="BH3" s="61">
        <f>JUDICIALES!D8</f>
        <v>44636</v>
      </c>
      <c r="BI3" s="60" t="str">
        <f>+USUARIOS!C19</f>
        <v xml:space="preserve">Se encuentra inactivo el rol del Administrador de la Entidad en el apliactivo ekogui, desde el 23 de febrero de 2022 y no ha sido activado a la fecha.  La persona que se encuentra en el sistema como Jefe Jurídico y Secretarío Técnico, en la actualidad no se desempeña en la Entidad.   </v>
      </c>
      <c r="BJ3" s="60" t="str">
        <f>+ABOGADOS!C22</f>
        <v>Revisada la muestra se evidenció que de los 10 abogados que aparecen en ekogui como activos, dos  (LAURA MARIA CLAVIJO FUENTES Y JAVIER CABALLERO BORDA), al revisar la información en el apliactivo ekogui, no se encuentran diligenciadas  las casillas que corresponden a la informción de los estudios y de la experiencia.</v>
      </c>
      <c r="BK3" s="60" t="str">
        <f>+JUDICIALES!F28</f>
        <v xml:space="preserve">En el cuadro denominado CONDENAS, se diligencia con cero (0)  la última fila denomindada PROCESOS CON VALOR CONDENA MAYOR A CERO, porque al revisar la información descargada del aplicativo ekogui, no se señala ningún valor.                                                                                                                                                                                                                                                 </v>
      </c>
      <c r="BL3" s="60" t="str">
        <f>+PREJUDICIALES!F17</f>
        <v xml:space="preserve">Frente al proceso ID 1460825, el Coordinador de Procesos de la Entidad informa que no llego citación a la Entidad, que se trata de una Reparación Directa en contra de la Fiscalia General de la Nación, promovida por  VARGAS CAICEDO JULIAN ANDRES Y PARRA JUAN CAMILO. </v>
      </c>
      <c r="BM3" s="60" t="str">
        <f>+ARBITRAMENTOS!C13</f>
        <v xml:space="preserve">A la fecha no se reporta arbitramentos en los cuales la entidad este vinculada. </v>
      </c>
      <c r="BN3" s="60" t="str">
        <f>+PAGOS!F8</f>
        <v>Revisado en el Sistema ekogui, 15-03-2022, al solicitar la generación del Informe señala que "No se encontró información", no genera reporte.</v>
      </c>
      <c r="BO3" s="60" t="str">
        <f>'Resumen General'!B23</f>
        <v xml:space="preserve">La información reportada corresponde a la revisión efectuada a través del sistema Ekogui, y la requerida a la Oficina Asesora Jurídica, que soporta la Información revisada.  </v>
      </c>
    </row>
    <row r="12" spans="1:67" x14ac:dyDescent="0.25">
      <c r="A12" s="60" t="s">
        <v>37</v>
      </c>
      <c r="B12" s="60" t="s">
        <v>15</v>
      </c>
      <c r="C12" s="63" t="s">
        <v>16</v>
      </c>
      <c r="D12" s="63" t="s">
        <v>6</v>
      </c>
      <c r="E12" s="63" t="s">
        <v>7</v>
      </c>
      <c r="F12" s="63" t="s">
        <v>17</v>
      </c>
      <c r="G12" s="63" t="s">
        <v>79</v>
      </c>
    </row>
    <row r="13" spans="1:67" x14ac:dyDescent="0.25">
      <c r="A13" s="60" t="str">
        <f t="shared" ref="A13:A18" si="0">$A$3</f>
        <v>INSTITUTO NACIONAL DE VIGILANCIA DE MEDICAMENTOS Y ALIMENTOS -INVIMA</v>
      </c>
      <c r="B13" s="60" t="s">
        <v>0</v>
      </c>
      <c r="C13" s="60" t="str">
        <f>USUARIOS!C12</f>
        <v>Si</v>
      </c>
      <c r="D13" s="62">
        <f>USUARIOS!D12</f>
        <v>43720</v>
      </c>
      <c r="E13" s="60" t="str">
        <f>USUARIOS!E12</f>
        <v>MARLON SIMON ORTEGA ORDOSGOITIA</v>
      </c>
      <c r="F13" s="62">
        <f>USUARIOS!F12</f>
        <v>43720</v>
      </c>
      <c r="G13" s="60" t="str">
        <f>USUARIOS!G12</f>
        <v/>
      </c>
    </row>
    <row r="14" spans="1:67" x14ac:dyDescent="0.25">
      <c r="A14" s="60" t="str">
        <f t="shared" si="0"/>
        <v>INSTITUTO NACIONAL DE VIGILANCIA DE MEDICAMENTOS Y ALIMENTOS -INVIMA</v>
      </c>
      <c r="B14" s="60" t="s">
        <v>1</v>
      </c>
      <c r="C14" s="60" t="str">
        <f>USUARIOS!C13</f>
        <v>Si</v>
      </c>
      <c r="D14" s="62">
        <f>USUARIOS!D13</f>
        <v>43717</v>
      </c>
      <c r="E14" s="60" t="str">
        <f>USUARIOS!E13</f>
        <v>MELISSA TRIANA  LUNA</v>
      </c>
      <c r="F14" s="62">
        <f>USUARIOS!F13</f>
        <v>0</v>
      </c>
      <c r="G14" s="60" t="str">
        <f>USUARIOS!G13</f>
        <v>DESACTUALIZADO</v>
      </c>
    </row>
    <row r="15" spans="1:67" x14ac:dyDescent="0.25">
      <c r="A15" s="60" t="str">
        <f t="shared" si="0"/>
        <v>INSTITUTO NACIONAL DE VIGILANCIA DE MEDICAMENTOS Y ALIMENTOS -INVIMA</v>
      </c>
      <c r="B15" s="60" t="s">
        <v>2</v>
      </c>
      <c r="C15" s="60" t="str">
        <f>USUARIOS!C14</f>
        <v>Si</v>
      </c>
      <c r="D15" s="62">
        <f>USUARIOS!D14</f>
        <v>43720</v>
      </c>
      <c r="E15" s="60" t="str">
        <f>USUARIOS!E14</f>
        <v>VICTOR MANUAL MOTTA PEÑA</v>
      </c>
      <c r="F15" s="62">
        <f>USUARIOS!F14</f>
        <v>43720</v>
      </c>
      <c r="G15" s="60" t="str">
        <f>USUARIOS!G14</f>
        <v/>
      </c>
    </row>
    <row r="16" spans="1:67" x14ac:dyDescent="0.25">
      <c r="A16" s="60" t="str">
        <f t="shared" si="0"/>
        <v>INSTITUTO NACIONAL DE VIGILANCIA DE MEDICAMENTOS Y ALIMENTOS -INVIMA</v>
      </c>
      <c r="B16" s="60" t="s">
        <v>3</v>
      </c>
      <c r="C16" s="60" t="str">
        <f>USUARIOS!C15</f>
        <v>Si</v>
      </c>
      <c r="D16" s="62">
        <f>USUARIOS!D15</f>
        <v>42198</v>
      </c>
      <c r="E16" s="60" t="str">
        <f>USUARIOS!E15</f>
        <v>NORMA CONSTANZA GARCIA RAMIREZ</v>
      </c>
      <c r="F16" s="62">
        <f>USUARIOS!F15</f>
        <v>44243</v>
      </c>
      <c r="G16" s="60" t="str">
        <f>USUARIOS!G15</f>
        <v/>
      </c>
    </row>
    <row r="17" spans="1:7" x14ac:dyDescent="0.25">
      <c r="A17" s="60" t="str">
        <f t="shared" si="0"/>
        <v>INSTITUTO NACIONAL DE VIGILANCIA DE MEDICAMENTOS Y ALIMENTOS -INVIMA</v>
      </c>
      <c r="B17" s="60" t="s">
        <v>4</v>
      </c>
      <c r="C17" s="60" t="str">
        <f>USUARIOS!C16</f>
        <v>Si</v>
      </c>
      <c r="D17" s="62">
        <f>USUARIOS!D16</f>
        <v>43717</v>
      </c>
      <c r="E17" s="60" t="str">
        <f>USUARIOS!E16</f>
        <v>MELISSA TRIANA  LUNA</v>
      </c>
      <c r="F17" s="62">
        <f>USUARIOS!F16</f>
        <v>0</v>
      </c>
      <c r="G17" s="60" t="str">
        <f>USUARIOS!G16</f>
        <v>DESACTUALIZADO</v>
      </c>
    </row>
    <row r="18" spans="1:7" x14ac:dyDescent="0.25">
      <c r="A18" s="60" t="str">
        <f t="shared" si="0"/>
        <v>INSTITUTO NACIONAL DE VIGILANCIA DE MEDICAMENTOS Y ALIMENTOS -INVIMA</v>
      </c>
      <c r="B18" s="60" t="s">
        <v>5</v>
      </c>
      <c r="C18" s="60" t="str">
        <f>USUARIOS!C17</f>
        <v>No</v>
      </c>
      <c r="D18" s="62">
        <f>USUARIOS!D17</f>
        <v>0</v>
      </c>
      <c r="E18" s="60" t="str">
        <f>USUARIOS!E17</f>
        <v>No</v>
      </c>
      <c r="F18" s="62">
        <f>USUARIOS!F17</f>
        <v>0</v>
      </c>
      <c r="G18" s="60" t="str">
        <f>USUARIOS!G17</f>
        <v/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Base a pegar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Olga Lucia Arandia Arandia</cp:lastModifiedBy>
  <dcterms:created xsi:type="dcterms:W3CDTF">2020-06-25T21:16:25Z</dcterms:created>
  <dcterms:modified xsi:type="dcterms:W3CDTF">2023-09-14T17:24:10Z</dcterms:modified>
</cp:coreProperties>
</file>